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P 004_Reforma_Asilo\"/>
    </mc:Choice>
  </mc:AlternateContent>
  <bookViews>
    <workbookView xWindow="0" yWindow="0" windowWidth="24000" windowHeight="9735" activeTab="2"/>
  </bookViews>
  <sheets>
    <sheet name="PLANILHA" sheetId="3" r:id="rId1"/>
    <sheet name="CRONOG FISICO" sheetId="5" r:id="rId2"/>
    <sheet name="RESUMO" sheetId="7" r:id="rId3"/>
    <sheet name="CRONOG GERAL" sheetId="6" state="hidden" r:id="rId4"/>
    <sheet name="Plan1" sheetId="8" state="hidden" r:id="rId5"/>
  </sheets>
  <externalReferences>
    <externalReference r:id="rId6"/>
  </externalReferences>
  <definedNames>
    <definedName name="_xlnm.Print_Titles" localSheetId="0">PLANILHA!$1:$10</definedName>
  </definedNames>
  <calcPr calcId="152511"/>
</workbook>
</file>

<file path=xl/calcChain.xml><?xml version="1.0" encoding="utf-8"?>
<calcChain xmlns="http://schemas.openxmlformats.org/spreadsheetml/2006/main">
  <c r="G42" i="3" l="1"/>
  <c r="H42" i="3" s="1"/>
  <c r="F9" i="5"/>
  <c r="E9" i="5"/>
  <c r="H7" i="5"/>
  <c r="G7" i="5"/>
  <c r="D9" i="5"/>
  <c r="H9" i="5" s="1"/>
  <c r="D7" i="5"/>
  <c r="F7" i="5" s="1"/>
  <c r="G9" i="5" l="1"/>
  <c r="G68" i="3"/>
  <c r="G61" i="3"/>
  <c r="G62" i="3"/>
  <c r="G63" i="3"/>
  <c r="G64" i="3"/>
  <c r="G60" i="3"/>
  <c r="G50" i="3"/>
  <c r="G51" i="3"/>
  <c r="G52" i="3"/>
  <c r="G54" i="3"/>
  <c r="G55" i="3"/>
  <c r="G56" i="3"/>
  <c r="G49" i="3"/>
  <c r="G39" i="3"/>
  <c r="G40" i="3"/>
  <c r="G41" i="3"/>
  <c r="G43" i="3"/>
  <c r="G38" i="3"/>
  <c r="G29" i="3"/>
  <c r="G30" i="3"/>
  <c r="G31" i="3"/>
  <c r="G32" i="3"/>
  <c r="G33" i="3"/>
  <c r="G28" i="3"/>
  <c r="G24" i="3"/>
  <c r="G23" i="3"/>
  <c r="G15" i="3"/>
  <c r="G16" i="3"/>
  <c r="G17" i="3"/>
  <c r="G18" i="3"/>
  <c r="G14" i="3"/>
  <c r="H63" i="3" l="1"/>
  <c r="H60" i="3"/>
  <c r="H61" i="3"/>
  <c r="E61" i="3"/>
  <c r="H29" i="3"/>
  <c r="H28" i="3"/>
  <c r="H31" i="3"/>
  <c r="H62" i="3" l="1"/>
  <c r="H18" i="3" l="1"/>
  <c r="H17" i="3"/>
  <c r="H16" i="3"/>
  <c r="H15" i="3"/>
  <c r="H14" i="3"/>
  <c r="H9" i="8"/>
  <c r="H10" i="8" s="1"/>
  <c r="H8" i="8"/>
  <c r="F12" i="8"/>
  <c r="F11" i="8"/>
  <c r="F13" i="8" s="1"/>
  <c r="C1" i="8"/>
  <c r="C9" i="8" s="1"/>
  <c r="A5" i="8"/>
  <c r="H43" i="3"/>
  <c r="E40" i="3"/>
  <c r="H64" i="3"/>
  <c r="H19" i="3" l="1"/>
  <c r="H40" i="3"/>
  <c r="I6" i="5" l="1"/>
  <c r="C6" i="5"/>
  <c r="C11" i="6" l="1"/>
  <c r="E11" i="6" s="1"/>
  <c r="C13" i="6"/>
  <c r="H24" i="3"/>
  <c r="E13" i="6" l="1"/>
  <c r="K13" i="6"/>
  <c r="H13" i="6"/>
  <c r="V33" i="6"/>
  <c r="H68" i="3" l="1"/>
  <c r="H49" i="3"/>
  <c r="H50" i="3"/>
  <c r="H51" i="3"/>
  <c r="H52" i="3"/>
  <c r="H54" i="3"/>
  <c r="H55" i="3"/>
  <c r="H56" i="3"/>
  <c r="H39" i="3"/>
  <c r="H41" i="3"/>
  <c r="H38" i="3"/>
  <c r="H32" i="3"/>
  <c r="H33" i="3"/>
  <c r="H30" i="3"/>
  <c r="H23" i="3"/>
  <c r="H44" i="3" l="1"/>
  <c r="V22" i="6"/>
  <c r="V24" i="6"/>
  <c r="V27" i="6"/>
  <c r="S11" i="6"/>
  <c r="P25" i="6"/>
  <c r="S25" i="6" s="1"/>
  <c r="V25" i="6" s="1"/>
  <c r="M15" i="6"/>
  <c r="P15" i="6" s="1"/>
  <c r="S15" i="6" s="1"/>
  <c r="V15" i="6" s="1"/>
  <c r="J17" i="6"/>
  <c r="M17" i="6" s="1"/>
  <c r="P17" i="6" s="1"/>
  <c r="S17" i="6" s="1"/>
  <c r="J18" i="6"/>
  <c r="M18" i="6" s="1"/>
  <c r="P18" i="6" s="1"/>
  <c r="S18" i="6" s="1"/>
  <c r="J19" i="6"/>
  <c r="M19" i="6" s="1"/>
  <c r="P19" i="6" s="1"/>
  <c r="S19" i="6" s="1"/>
  <c r="V19" i="6" s="1"/>
  <c r="J20" i="6"/>
  <c r="M20" i="6" s="1"/>
  <c r="P20" i="6" s="1"/>
  <c r="S20" i="6" s="1"/>
  <c r="V20" i="6" s="1"/>
  <c r="J21" i="6"/>
  <c r="M21" i="6" s="1"/>
  <c r="P21" i="6" s="1"/>
  <c r="S21" i="6" s="1"/>
  <c r="V21" i="6" s="1"/>
  <c r="J22" i="6"/>
  <c r="M22" i="6" s="1"/>
  <c r="J23" i="6"/>
  <c r="M23" i="6" s="1"/>
  <c r="P23" i="6" s="1"/>
  <c r="S23" i="6" s="1"/>
  <c r="V23" i="6" s="1"/>
  <c r="J24" i="6"/>
  <c r="M24" i="6" s="1"/>
  <c r="G26" i="6"/>
  <c r="J26" i="6" s="1"/>
  <c r="M26" i="6" s="1"/>
  <c r="P26" i="6" s="1"/>
  <c r="S26" i="6" s="1"/>
  <c r="V26" i="6" s="1"/>
  <c r="G11" i="6"/>
  <c r="G14" i="6"/>
  <c r="G16" i="6"/>
  <c r="J16" i="6" s="1"/>
  <c r="M16" i="6" s="1"/>
  <c r="C14" i="6" l="1"/>
  <c r="E14" i="6" l="1"/>
  <c r="H14" i="6"/>
  <c r="H65" i="3" l="1"/>
  <c r="A2" i="7"/>
  <c r="A4" i="7"/>
  <c r="A3" i="7"/>
  <c r="C12" i="6" l="1"/>
  <c r="E12" i="6" s="1"/>
  <c r="G10" i="6"/>
  <c r="F11" i="5"/>
  <c r="H57" i="3" l="1"/>
  <c r="H25" i="3"/>
  <c r="C10" i="6" l="1"/>
  <c r="E10" i="6" s="1"/>
  <c r="C19" i="6"/>
  <c r="D10" i="5"/>
  <c r="C25" i="6"/>
  <c r="D13" i="5"/>
  <c r="C20" i="6"/>
  <c r="T20" i="6" s="1"/>
  <c r="C26" i="6"/>
  <c r="D14" i="5"/>
  <c r="C16" i="6"/>
  <c r="C22" i="6"/>
  <c r="C17" i="6"/>
  <c r="Q17" i="6" s="1"/>
  <c r="D8" i="5"/>
  <c r="C24" i="6"/>
  <c r="C15" i="6"/>
  <c r="F14" i="5" l="1"/>
  <c r="G14" i="5"/>
  <c r="E14" i="5"/>
  <c r="E8" i="5"/>
  <c r="F8" i="5"/>
  <c r="G8" i="5"/>
  <c r="F10" i="5"/>
  <c r="H10" i="5"/>
  <c r="G10" i="5"/>
  <c r="E10" i="5"/>
  <c r="G13" i="5"/>
  <c r="F13" i="5"/>
  <c r="T19" i="6"/>
  <c r="Q19" i="6"/>
  <c r="T15" i="6"/>
  <c r="Q15" i="6"/>
  <c r="N25" i="6"/>
  <c r="T25" i="6"/>
  <c r="Q25" i="6"/>
  <c r="T26" i="6"/>
  <c r="Q26" i="6"/>
  <c r="N15" i="6"/>
  <c r="K15" i="6"/>
  <c r="K24" i="6"/>
  <c r="H24" i="6"/>
  <c r="N17" i="6"/>
  <c r="K17" i="6"/>
  <c r="H17" i="6"/>
  <c r="K22" i="6"/>
  <c r="H22" i="6"/>
  <c r="K16" i="6"/>
  <c r="H16" i="6"/>
  <c r="E16" i="6"/>
  <c r="N26" i="6"/>
  <c r="E26" i="6"/>
  <c r="K20" i="6"/>
  <c r="H20" i="6"/>
  <c r="N19" i="6"/>
  <c r="K19" i="6"/>
  <c r="H19" i="6"/>
  <c r="C10" i="7"/>
  <c r="C11" i="7"/>
  <c r="C15" i="7"/>
  <c r="H14" i="5"/>
  <c r="C14" i="7"/>
  <c r="C13" i="7"/>
  <c r="H34" i="3"/>
  <c r="H69" i="3"/>
  <c r="H71" i="3" l="1"/>
  <c r="E30" i="6"/>
  <c r="I13" i="5"/>
  <c r="I7" i="5"/>
  <c r="E18" i="5"/>
  <c r="I10" i="5"/>
  <c r="I14" i="5"/>
  <c r="I8" i="5"/>
  <c r="C27" i="6"/>
  <c r="T27" i="6" s="1"/>
  <c r="T30" i="6" s="1"/>
  <c r="D15" i="5"/>
  <c r="H15" i="5" s="1"/>
  <c r="C18" i="6"/>
  <c r="Q18" i="6" s="1"/>
  <c r="Q30" i="6" s="1"/>
  <c r="H73" i="3" l="1"/>
  <c r="Q32" i="6"/>
  <c r="Q33" i="6"/>
  <c r="T33" i="6"/>
  <c r="T32" i="6"/>
  <c r="G18" i="5"/>
  <c r="H18" i="5"/>
  <c r="N18" i="6"/>
  <c r="N30" i="6" s="1"/>
  <c r="K18" i="6"/>
  <c r="K30" i="6" s="1"/>
  <c r="H18" i="6"/>
  <c r="H30" i="6" s="1"/>
  <c r="C16" i="7"/>
  <c r="D18" i="5"/>
  <c r="E19" i="5"/>
  <c r="C30" i="6"/>
  <c r="C12" i="7"/>
  <c r="U30" i="6" l="1"/>
  <c r="U31" i="6" s="1"/>
  <c r="D11" i="6"/>
  <c r="D12" i="6"/>
  <c r="D13" i="6"/>
  <c r="K33" i="6"/>
  <c r="K32" i="6"/>
  <c r="H33" i="6"/>
  <c r="H32" i="6"/>
  <c r="N32" i="6"/>
  <c r="N33" i="6"/>
  <c r="E32" i="6"/>
  <c r="G32" i="6" s="1"/>
  <c r="E33" i="6"/>
  <c r="E31" i="6"/>
  <c r="C18" i="7"/>
  <c r="I9" i="5"/>
  <c r="F18" i="5"/>
  <c r="F19" i="5" s="1"/>
  <c r="G19" i="5" s="1"/>
  <c r="H19" i="5" s="1"/>
  <c r="I15" i="5"/>
  <c r="C9" i="5"/>
  <c r="D15" i="6"/>
  <c r="D10" i="6"/>
  <c r="D27" i="6"/>
  <c r="D19" i="6"/>
  <c r="D14" i="6"/>
  <c r="D26" i="6"/>
  <c r="C31" i="6"/>
  <c r="D22" i="6"/>
  <c r="D25" i="6"/>
  <c r="O30" i="6"/>
  <c r="O31" i="6" s="1"/>
  <c r="F30" i="6"/>
  <c r="D18" i="6"/>
  <c r="D17" i="6"/>
  <c r="I30" i="6"/>
  <c r="I31" i="6" s="1"/>
  <c r="R30" i="6"/>
  <c r="R31" i="6" s="1"/>
  <c r="D16" i="6"/>
  <c r="D20" i="6"/>
  <c r="L30" i="6"/>
  <c r="D24" i="6"/>
  <c r="C15" i="5"/>
  <c r="C8" i="5"/>
  <c r="C7" i="5"/>
  <c r="C16" i="5" s="1"/>
  <c r="C13" i="5"/>
  <c r="C10" i="5"/>
  <c r="C14" i="5"/>
  <c r="I19" i="5" l="1"/>
  <c r="D16" i="5" s="1"/>
  <c r="D17" i="5" s="1"/>
  <c r="D30" i="6"/>
  <c r="V32" i="6"/>
  <c r="H31" i="6"/>
  <c r="K31" i="6" s="1"/>
  <c r="N31" i="6" s="1"/>
  <c r="Q31" i="6" s="1"/>
  <c r="T31" i="6" s="1"/>
  <c r="F31" i="6"/>
  <c r="G31" i="6" s="1"/>
  <c r="J31" i="6" s="1"/>
  <c r="P31" i="6" s="1"/>
  <c r="V31" i="6" s="1"/>
  <c r="D32" i="6"/>
  <c r="G30" i="6"/>
  <c r="D33" i="6" l="1"/>
  <c r="G16" i="5"/>
  <c r="H16" i="5"/>
  <c r="E16" i="5"/>
  <c r="E17" i="5" s="1"/>
  <c r="F16" i="5"/>
  <c r="I18" i="5"/>
  <c r="J30" i="6"/>
  <c r="F17" i="5" l="1"/>
  <c r="G17" i="5" s="1"/>
  <c r="H17" i="5" s="1"/>
  <c r="I16" i="5"/>
  <c r="M30" i="6"/>
  <c r="P30" i="6" l="1"/>
  <c r="V30" i="6" l="1"/>
</calcChain>
</file>

<file path=xl/sharedStrings.xml><?xml version="1.0" encoding="utf-8"?>
<sst xmlns="http://schemas.openxmlformats.org/spreadsheetml/2006/main" count="270" uniqueCount="183">
  <si>
    <t xml:space="preserve">Planilha Orçamentária </t>
  </si>
  <si>
    <t>1.0</t>
  </si>
  <si>
    <t>2.0</t>
  </si>
  <si>
    <t>3.0</t>
  </si>
  <si>
    <t>m²</t>
  </si>
  <si>
    <t>4.0</t>
  </si>
  <si>
    <t>5.0</t>
  </si>
  <si>
    <t>6.0</t>
  </si>
  <si>
    <t>Subtotal item 6.0</t>
  </si>
  <si>
    <t>7.0</t>
  </si>
  <si>
    <t>Subtotal item 7.0</t>
  </si>
  <si>
    <t>Subtotal item 12.0</t>
  </si>
  <si>
    <t>unid</t>
  </si>
  <si>
    <t>Item</t>
  </si>
  <si>
    <t>Descrição dos Serviços</t>
  </si>
  <si>
    <t>Unid.</t>
  </si>
  <si>
    <t>Quant.</t>
  </si>
  <si>
    <t>Esquadrias</t>
  </si>
  <si>
    <t>Revestimento de Paredes</t>
  </si>
  <si>
    <t>Pavimentação</t>
  </si>
  <si>
    <t>Pintura</t>
  </si>
  <si>
    <t>Louças e Metais</t>
  </si>
  <si>
    <t>Serviços Diversos</t>
  </si>
  <si>
    <t>Serviços Finais</t>
  </si>
  <si>
    <t>Louças</t>
  </si>
  <si>
    <t>Metais</t>
  </si>
  <si>
    <t>Válvula de descarga 1.1/2" (38mm) com registro, acabamento em metal cromado</t>
  </si>
  <si>
    <t>Subtotal Geral</t>
  </si>
  <si>
    <t>Total Geral</t>
  </si>
  <si>
    <t>Cód.SINAPI</t>
  </si>
  <si>
    <r>
      <t>Município</t>
    </r>
    <r>
      <rPr>
        <sz val="10"/>
        <rFont val="Arial"/>
        <family val="2"/>
      </rPr>
      <t>: IGUATEMI-MS</t>
    </r>
  </si>
  <si>
    <t>Papeleira de parede em metal cromado sem tampa</t>
  </si>
  <si>
    <t>Saboneteira de sobrepor (fixada na parede), tipo concha, em aço inoxidável - fornecimento e instalação</t>
  </si>
  <si>
    <t>PREFEITURA MUNICIPAL DE IGUATEMI-MS</t>
  </si>
  <si>
    <t>ITEM</t>
  </si>
  <si>
    <t>SERVIÇOS</t>
  </si>
  <si>
    <t>%</t>
  </si>
  <si>
    <t>INV.</t>
  </si>
  <si>
    <t>30 Dias</t>
  </si>
  <si>
    <t>60 Dias</t>
  </si>
  <si>
    <t>90 Dias</t>
  </si>
  <si>
    <t>120 Dias</t>
  </si>
  <si>
    <t>TOTAL</t>
  </si>
  <si>
    <t>1.00</t>
  </si>
  <si>
    <t>2.00</t>
  </si>
  <si>
    <t>4.00</t>
  </si>
  <si>
    <t>5.00</t>
  </si>
  <si>
    <t>% SIMPLES</t>
  </si>
  <si>
    <t>% ACUMULADA</t>
  </si>
  <si>
    <t>T O T A L    S I M P L E S     (R$)</t>
  </si>
  <si>
    <t>T O T A L     A C U M U L A D O   (R$)</t>
  </si>
  <si>
    <t>SERVIÇOS PRELIMINARES</t>
  </si>
  <si>
    <t>6.00</t>
  </si>
  <si>
    <t>8.00</t>
  </si>
  <si>
    <t>9.00</t>
  </si>
  <si>
    <t>10.00</t>
  </si>
  <si>
    <t>11.00</t>
  </si>
  <si>
    <t>12.00</t>
  </si>
  <si>
    <t>13.00</t>
  </si>
  <si>
    <t>15.00</t>
  </si>
  <si>
    <t>16.00</t>
  </si>
  <si>
    <t>MOVIMENTO DE TERRA</t>
  </si>
  <si>
    <t>PAREDES</t>
  </si>
  <si>
    <t>ESQUADRIAS</t>
  </si>
  <si>
    <t>COBERTURA</t>
  </si>
  <si>
    <t>REVESTIMENTO DE PAREDES</t>
  </si>
  <si>
    <t>PAVIMENTAÇÃO</t>
  </si>
  <si>
    <t>PINTURA</t>
  </si>
  <si>
    <t>INSTALAÇÃO ELÉTRICA</t>
  </si>
  <si>
    <t>INSTALAÇÃO TELEFÔNICA</t>
  </si>
  <si>
    <t>INSTALAÇÃO HIDRÁULICA</t>
  </si>
  <si>
    <t>INSTALAÇÃO DE ÁGUAS PLUVIAIS</t>
  </si>
  <si>
    <t>INSTALAÇÃO SANITÁRIA</t>
  </si>
  <si>
    <t>LOUÇAS E METAIS</t>
  </si>
  <si>
    <t>SERVIÇOS DIVERSOS</t>
  </si>
  <si>
    <t>SERVIÇOS FINAIS</t>
  </si>
  <si>
    <t>AV. LAUDELINO PEIXOTO, 871</t>
  </si>
  <si>
    <t>LOCAL: IGUATEMI - M.S</t>
  </si>
  <si>
    <t>CRONOGRAMA GERAL DO INVESTIMENTO</t>
  </si>
  <si>
    <t>DISCRIMINAÇÃO DOS SERVIÇOS</t>
  </si>
  <si>
    <t>VALOR DOS SERVIÇOS</t>
  </si>
  <si>
    <t>PESO %</t>
  </si>
  <si>
    <t>SERVIÇOS A EXECUTAR</t>
  </si>
  <si>
    <t>MÊS 1</t>
  </si>
  <si>
    <t>MÊS 2</t>
  </si>
  <si>
    <t>MÊS 3</t>
  </si>
  <si>
    <t>MÊS 4</t>
  </si>
  <si>
    <t>MÊS 5</t>
  </si>
  <si>
    <t>MÊS 6</t>
  </si>
  <si>
    <t>VALOR</t>
  </si>
  <si>
    <t>SIMPL.
%</t>
  </si>
  <si>
    <t>ACUM.
%</t>
  </si>
  <si>
    <t>SUB-TOTAL</t>
  </si>
  <si>
    <t>ACUMULADO</t>
  </si>
  <si>
    <t>CONCEDENTE</t>
  </si>
  <si>
    <t>RESUMO DO ORÇAMENTO</t>
  </si>
  <si>
    <t>DISCRIMINAÇÃO</t>
  </si>
  <si>
    <t>TOTAL GERAL</t>
  </si>
  <si>
    <t>Fechadura de embutir para porta de banheiro, completa, acabamento padrão médio, incluso execução de furo - fornecimento e instalação. af_08/2015</t>
  </si>
  <si>
    <t>OBRA: Reforma do Ginásio de Esportes Municipal de Iguatemi-MS</t>
  </si>
  <si>
    <t>Porta de madeira para pintura, semi-oca (leve ou média), 80x210cm, espessura de 3,5cm, incluso dobradiças fornecimento e instalação.</t>
  </si>
  <si>
    <t xml:space="preserve">Pintura esmalte fosco em madeira, duas demãos </t>
  </si>
  <si>
    <t>Fechadura de embutir para portas externas, completa, acabamento padrão médio, com execução de furo - fornecimento e instalação. af_08/2015</t>
  </si>
  <si>
    <t>aplicação manual de pintura com tinta látex acrílica em paredes, duas demãos.</t>
  </si>
  <si>
    <t xml:space="preserve">m </t>
  </si>
  <si>
    <t>Subtotal item 5.0</t>
  </si>
  <si>
    <t>Subtotal item 13.0</t>
  </si>
  <si>
    <t>CONVENENTE</t>
  </si>
  <si>
    <t>Custo Unit. (R$)</t>
  </si>
  <si>
    <t>Preço Unit. (R$)</t>
  </si>
  <si>
    <t>Valor Total(R$)</t>
  </si>
  <si>
    <t>Revestimento cerâmico para piso com placas tipo porcelanato de dimensões 45x45 cm aplicada em ambientes de área menor que 5 m²</t>
  </si>
  <si>
    <t>Revestimento cerâmico para piso com placas tipo porcelanato de dimensões 45x45 cm aplicada em ambientes de área maior que 10 m²</t>
  </si>
  <si>
    <t>Vaso sanitário convencional para PCD, incuso conjunto de ligação para bacia sanitária</t>
  </si>
  <si>
    <t>ENCARGOS SOCIAIS SOBRE PREÇOS DA MÃO-DE-OBRA: 117,69%(HORA) 73,76%(MÊS)</t>
  </si>
  <si>
    <r>
      <t>Endereço</t>
    </r>
    <r>
      <rPr>
        <sz val="10"/>
        <rFont val="Arial"/>
        <family val="2"/>
      </rPr>
      <t>:Rua Adê Acosta Fernandes</t>
    </r>
  </si>
  <si>
    <t>INFRAESTRUTURA</t>
  </si>
  <si>
    <t>ESTRUTURA</t>
  </si>
  <si>
    <t>3.00</t>
  </si>
  <si>
    <t>7.00</t>
  </si>
  <si>
    <t>14.00</t>
  </si>
  <si>
    <t>Fechadura de embutir para portas internas, completa, acabamento padrão popular, com execução de furo - fornecimento e instalação</t>
  </si>
  <si>
    <t>73978/001</t>
  </si>
  <si>
    <t>Pintura Hidrofugante com silicone (calçadas e telhado)</t>
  </si>
  <si>
    <t>Pintura em verniz sintético brilhante em madeira (forro), três demãos</t>
  </si>
  <si>
    <r>
      <t>Obra</t>
    </r>
    <r>
      <rPr>
        <sz val="13"/>
        <rFont val="Arial"/>
        <family val="2"/>
      </rPr>
      <t>: Reforma Asilo São José</t>
    </r>
  </si>
  <si>
    <t>Limpeza final da reforma</t>
  </si>
  <si>
    <t>Pintura epóxi, duas demãos 1,5 m (dormitórios)</t>
  </si>
  <si>
    <t>Revestimento Cerâmico para paredes internas com placas tipo esmaltadas extra de dimensões 20x20 cm para áreas menores que 5 m² altura inteira da parede h=2,00m</t>
  </si>
  <si>
    <t>Revestimento Cerâmico para paredes internas com placas tipo esmaltadas extra de dimensões 20x20 cm para áreas maiores que 5 m² altura inteira da parede h=2,00m</t>
  </si>
  <si>
    <t>composição</t>
  </si>
  <si>
    <t>Instalação de forro PVC</t>
  </si>
  <si>
    <t>Revestimento cerâmico para piso com placas tipo porcelanato de dimensões 45x45 cm aplicada em ambientes de área entre 5 e 10 m²</t>
  </si>
  <si>
    <t>Data Base: SINAPI  02/2018    DESONERADO</t>
  </si>
  <si>
    <t>Rodapé cerâmico 7 cm de altura, com placas tipo grês de dimensões 45x45 cm</t>
  </si>
  <si>
    <t xml:space="preserve">Bancada Granito cinza 0,5x0,6 inc. cuba de embutir oval louça branca 35x50, válvula de metal cromado, sifão flexivel de PVC, engate de 30 cm flexivel e torneira cromada de mesa. </t>
  </si>
  <si>
    <t>Porta de madeira para pintura, semi-oca (leve ou média), 100x210cm, espessura de 3,5cm, incluso dobradiças fornecimento e instalação.</t>
  </si>
  <si>
    <t>Execução de passeio ou piso de concreto, concreto moldado in loco, acabamento convencional, espessura de 8 cm, armado.</t>
  </si>
  <si>
    <t>m³</t>
  </si>
  <si>
    <t>Execução de passeio ou piso de concreto, concreto moldado in loco, acabamento convencional.</t>
  </si>
  <si>
    <t>m</t>
  </si>
  <si>
    <t>Demolição de Rodapé cerâmico de forma manual.</t>
  </si>
  <si>
    <t>Demolição de Revestimento cerâmico</t>
  </si>
  <si>
    <t>Barra PNE para lavatório</t>
  </si>
  <si>
    <t>Barra PNE para bacia sanitária</t>
  </si>
  <si>
    <t>Grade de ferro em barra chata</t>
  </si>
  <si>
    <t>73932/001</t>
  </si>
  <si>
    <t>BDI:26,5%</t>
  </si>
  <si>
    <t>Trama de madeira para reforma de beirais</t>
  </si>
  <si>
    <t>Data: Maio 2018</t>
  </si>
  <si>
    <t>CRONOGRAMA    FISICO - FINANCEIRO - COM BDI DE 26,50%</t>
  </si>
  <si>
    <t>FONTE DE CUSTO TABELA SINAP  - BDI 26,50%</t>
  </si>
  <si>
    <t xml:space="preserve">   Obra: Reforma do Lar dos Idosos São José</t>
  </si>
  <si>
    <t>73924/001</t>
  </si>
  <si>
    <t>Pintura esmalte alto brilho duas demãos, sobre superficie metálica</t>
  </si>
  <si>
    <t>1.1</t>
  </si>
  <si>
    <t>1.2</t>
  </si>
  <si>
    <t>1.3</t>
  </si>
  <si>
    <t>1.4</t>
  </si>
  <si>
    <t>1.5</t>
  </si>
  <si>
    <t>2.1</t>
  </si>
  <si>
    <t>2.2</t>
  </si>
  <si>
    <t>3.1</t>
  </si>
  <si>
    <t>3.2</t>
  </si>
  <si>
    <t>3.3</t>
  </si>
  <si>
    <t>3.4</t>
  </si>
  <si>
    <t>3.5</t>
  </si>
  <si>
    <t>3.6</t>
  </si>
  <si>
    <t>4.1</t>
  </si>
  <si>
    <t>4.2</t>
  </si>
  <si>
    <t>4.3</t>
  </si>
  <si>
    <t>4.4</t>
  </si>
  <si>
    <t>4.5</t>
  </si>
  <si>
    <t>4.6</t>
  </si>
  <si>
    <t>5.1</t>
  </si>
  <si>
    <t>5.2</t>
  </si>
  <si>
    <t>5.3</t>
  </si>
  <si>
    <t>5.4</t>
  </si>
  <si>
    <t>5.5</t>
  </si>
  <si>
    <t>5.6</t>
  </si>
  <si>
    <t>5.7</t>
  </si>
  <si>
    <t>5.8</t>
  </si>
  <si>
    <t>7.1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</si>
</sst>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.00_);[Red]\(#,##0.00\)"/>
    <numFmt numFmtId="167" formatCode="0.0%"/>
  </numFmts>
  <fonts count="33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i/>
      <sz val="10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1"/>
      <name val="Arial"/>
      <family val="2"/>
      <charset val="1"/>
    </font>
    <font>
      <b/>
      <sz val="12"/>
      <name val="Arial"/>
      <family val="2"/>
      <charset val="1"/>
    </font>
    <font>
      <sz val="9"/>
      <name val="Arial"/>
      <family val="2"/>
    </font>
    <font>
      <b/>
      <sz val="11"/>
      <color rgb="FF000000"/>
      <name val="Arial Narrow"/>
      <family val="2"/>
      <charset val="1"/>
    </font>
    <font>
      <sz val="10"/>
      <color rgb="FF000000"/>
      <name val="Times New Roman"/>
      <family val="1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Times New Roman"/>
      <family val="1"/>
      <charset val="1"/>
    </font>
    <font>
      <b/>
      <sz val="12"/>
      <color rgb="FF000000"/>
      <name val="Arial"/>
      <family val="2"/>
      <charset val="1"/>
    </font>
    <font>
      <b/>
      <sz val="12"/>
      <name val="Busorama Md BT"/>
      <family val="5"/>
      <charset val="1"/>
    </font>
    <font>
      <sz val="12"/>
      <name val="Times New Roman"/>
      <family val="1"/>
      <charset val="1"/>
    </font>
    <font>
      <b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8"/>
      <name val="Times New Roman"/>
      <family val="1"/>
      <charset val="1"/>
    </font>
    <font>
      <b/>
      <sz val="8"/>
      <name val="Arial"/>
      <family val="2"/>
      <charset val="1"/>
    </font>
    <font>
      <b/>
      <sz val="18"/>
      <name val="Arial"/>
      <family val="2"/>
    </font>
    <font>
      <b/>
      <sz val="9"/>
      <name val="Arial"/>
      <family val="2"/>
      <charset val="1"/>
    </font>
    <font>
      <sz val="9"/>
      <name val="Arial"/>
      <family val="2"/>
      <charset val="1"/>
    </font>
    <font>
      <b/>
      <sz val="11"/>
      <name val="Arial"/>
      <family val="2"/>
      <charset val="1"/>
    </font>
    <font>
      <sz val="13"/>
      <name val="Arial"/>
      <family val="2"/>
    </font>
    <font>
      <b/>
      <sz val="13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808080"/>
      </left>
      <right style="thin">
        <color indexed="64"/>
      </right>
      <top style="medium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medium">
        <color rgb="FF808080"/>
      </top>
      <bottom style="thin">
        <color rgb="FF808080"/>
      </bottom>
      <diagonal/>
    </border>
    <border>
      <left style="thin">
        <color indexed="64"/>
      </left>
      <right style="medium">
        <color rgb="FF808080"/>
      </right>
      <top style="medium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medium">
        <color rgb="FF808080"/>
      </left>
      <right style="thin">
        <color indexed="64"/>
      </right>
      <top style="thin">
        <color rgb="FF808080"/>
      </top>
      <bottom style="medium">
        <color rgb="FF808080"/>
      </bottom>
      <diagonal/>
    </border>
    <border>
      <left style="thin">
        <color indexed="64"/>
      </left>
      <right style="thin">
        <color indexed="64"/>
      </right>
      <top style="thin">
        <color rgb="FF808080"/>
      </top>
      <bottom style="medium">
        <color rgb="FF808080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9" fillId="0" borderId="0"/>
  </cellStyleXfs>
  <cellXfs count="296">
    <xf numFmtId="0" fontId="0" fillId="0" borderId="0" xfId="0"/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164" fontId="5" fillId="0" borderId="0" xfId="1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4" fontId="5" fillId="0" borderId="6" xfId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5" fillId="0" borderId="0" xfId="1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164" fontId="5" fillId="0" borderId="11" xfId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164" fontId="5" fillId="0" borderId="4" xfId="1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164" fontId="5" fillId="0" borderId="0" xfId="1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vertical="center" wrapText="1"/>
    </xf>
    <xf numFmtId="0" fontId="2" fillId="0" borderId="19" xfId="0" applyFont="1" applyFill="1" applyBorder="1" applyAlignment="1">
      <alignment vertical="center" wrapText="1"/>
    </xf>
    <xf numFmtId="49" fontId="2" fillId="4" borderId="1" xfId="0" applyNumberFormat="1" applyFont="1" applyFill="1" applyBorder="1" applyAlignment="1">
      <alignment horizontal="center" vertical="center"/>
    </xf>
    <xf numFmtId="164" fontId="2" fillId="4" borderId="3" xfId="1" applyFont="1" applyFill="1" applyBorder="1" applyAlignment="1">
      <alignment horizontal="center" vertical="center"/>
    </xf>
    <xf numFmtId="164" fontId="2" fillId="3" borderId="4" xfId="1" applyFont="1" applyFill="1" applyBorder="1" applyAlignment="1">
      <alignment horizontal="left" vertical="center"/>
    </xf>
    <xf numFmtId="164" fontId="2" fillId="0" borderId="4" xfId="1" applyFont="1" applyFill="1" applyBorder="1" applyAlignment="1">
      <alignment vertical="center"/>
    </xf>
    <xf numFmtId="164" fontId="5" fillId="0" borderId="15" xfId="1" applyFont="1" applyFill="1" applyBorder="1" applyAlignment="1">
      <alignment horizontal="center" vertical="center" wrapText="1"/>
    </xf>
    <xf numFmtId="164" fontId="2" fillId="0" borderId="19" xfId="1" applyFont="1" applyFill="1" applyBorder="1" applyAlignment="1">
      <alignment horizontal="center" vertical="center" wrapText="1"/>
    </xf>
    <xf numFmtId="164" fontId="2" fillId="0" borderId="0" xfId="1" applyFont="1" applyFill="1" applyBorder="1" applyAlignment="1">
      <alignment horizontal="center" vertical="center" wrapText="1"/>
    </xf>
    <xf numFmtId="164" fontId="5" fillId="0" borderId="19" xfId="1" applyFont="1" applyFill="1" applyBorder="1" applyAlignment="1">
      <alignment horizontal="center" vertical="center" wrapText="1"/>
    </xf>
    <xf numFmtId="164" fontId="5" fillId="0" borderId="0" xfId="1" applyFont="1" applyBorder="1" applyAlignment="1">
      <alignment horizontal="center" vertical="center" wrapText="1"/>
    </xf>
    <xf numFmtId="164" fontId="2" fillId="0" borderId="4" xfId="1" applyFont="1" applyFill="1" applyBorder="1" applyAlignment="1">
      <alignment horizontal="center" vertical="center" wrapText="1"/>
    </xf>
    <xf numFmtId="164" fontId="2" fillId="3" borderId="4" xfId="1" applyFont="1" applyFill="1" applyBorder="1" applyAlignment="1">
      <alignment horizontal="center" vertical="center"/>
    </xf>
    <xf numFmtId="164" fontId="5" fillId="0" borderId="0" xfId="1" applyFont="1" applyAlignment="1">
      <alignment vertical="center"/>
    </xf>
    <xf numFmtId="164" fontId="5" fillId="0" borderId="9" xfId="1" applyFont="1" applyBorder="1" applyAlignment="1">
      <alignment horizontal="center" vertical="center"/>
    </xf>
    <xf numFmtId="164" fontId="5" fillId="0" borderId="0" xfId="1" applyFont="1" applyFill="1" applyAlignment="1">
      <alignment vertical="center"/>
    </xf>
    <xf numFmtId="164" fontId="2" fillId="0" borderId="0" xfId="1" applyFont="1" applyFill="1" applyBorder="1" applyAlignment="1">
      <alignment vertical="center" wrapText="1"/>
    </xf>
    <xf numFmtId="164" fontId="5" fillId="0" borderId="0" xfId="1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3" fontId="5" fillId="0" borderId="0" xfId="0" applyNumberFormat="1" applyFont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4" fillId="0" borderId="17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2" fillId="4" borderId="17" xfId="0" applyFont="1" applyFill="1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164" fontId="5" fillId="2" borderId="18" xfId="1" applyFont="1" applyFill="1" applyBorder="1" applyAlignment="1">
      <alignment horizontal="center" vertical="center"/>
    </xf>
    <xf numFmtId="164" fontId="5" fillId="2" borderId="14" xfId="1" applyFont="1" applyFill="1" applyBorder="1" applyAlignment="1">
      <alignment horizontal="center" vertical="center"/>
    </xf>
    <xf numFmtId="164" fontId="5" fillId="2" borderId="18" xfId="1" applyFont="1" applyFill="1" applyBorder="1" applyAlignment="1">
      <alignment horizontal="center" vertical="center" wrapText="1"/>
    </xf>
    <xf numFmtId="164" fontId="5" fillId="2" borderId="14" xfId="1" applyFont="1" applyFill="1" applyBorder="1" applyAlignment="1">
      <alignment horizontal="center" vertical="center" wrapText="1"/>
    </xf>
    <xf numFmtId="164" fontId="2" fillId="0" borderId="13" xfId="1" applyFont="1" applyFill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5" fillId="0" borderId="4" xfId="1" applyFont="1" applyFill="1" applyBorder="1" applyAlignment="1">
      <alignment horizontal="center" vertical="center" wrapText="1"/>
    </xf>
    <xf numFmtId="164" fontId="5" fillId="0" borderId="4" xfId="1" applyFont="1" applyFill="1" applyBorder="1" applyAlignment="1">
      <alignment vertical="center" wrapText="1"/>
    </xf>
    <xf numFmtId="164" fontId="2" fillId="0" borderId="4" xfId="1" applyFont="1" applyFill="1" applyBorder="1" applyAlignment="1">
      <alignment vertical="center" wrapText="1"/>
    </xf>
    <xf numFmtId="164" fontId="5" fillId="0" borderId="13" xfId="1" applyFont="1" applyFill="1" applyBorder="1" applyAlignment="1">
      <alignment vertical="center" wrapText="1"/>
    </xf>
    <xf numFmtId="164" fontId="5" fillId="0" borderId="13" xfId="1" applyFont="1" applyFill="1" applyBorder="1" applyAlignment="1">
      <alignment horizontal="center" vertical="center"/>
    </xf>
    <xf numFmtId="164" fontId="5" fillId="0" borderId="13" xfId="1" applyFont="1" applyFill="1" applyBorder="1" applyAlignment="1">
      <alignment vertical="center"/>
    </xf>
    <xf numFmtId="164" fontId="5" fillId="0" borderId="13" xfId="1" applyFont="1" applyFill="1" applyBorder="1" applyAlignment="1">
      <alignment horizontal="center" vertical="center" wrapText="1"/>
    </xf>
    <xf numFmtId="164" fontId="5" fillId="0" borderId="21" xfId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 wrapText="1"/>
    </xf>
    <xf numFmtId="164" fontId="2" fillId="0" borderId="23" xfId="1" applyFont="1" applyFill="1" applyBorder="1" applyAlignment="1">
      <alignment vertical="center"/>
    </xf>
    <xf numFmtId="0" fontId="2" fillId="0" borderId="19" xfId="0" applyFont="1" applyFill="1" applyBorder="1" applyAlignment="1">
      <alignment horizontal="center" vertical="center" wrapText="1"/>
    </xf>
    <xf numFmtId="164" fontId="6" fillId="0" borderId="23" xfId="1" applyFont="1" applyFill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8" fillId="0" borderId="8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4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4" xfId="0" applyFont="1" applyBorder="1"/>
    <xf numFmtId="164" fontId="0" fillId="0" borderId="25" xfId="1" applyFont="1" applyBorder="1" applyAlignment="1" applyProtection="1"/>
    <xf numFmtId="164" fontId="0" fillId="0" borderId="4" xfId="1" applyFont="1" applyBorder="1" applyAlignment="1" applyProtection="1"/>
    <xf numFmtId="0" fontId="12" fillId="0" borderId="0" xfId="3" applyFont="1" applyBorder="1" applyAlignment="1">
      <alignment horizontal="left"/>
    </xf>
    <xf numFmtId="0" fontId="0" fillId="0" borderId="5" xfId="3" applyFont="1" applyBorder="1" applyAlignment="1">
      <alignment horizontal="center"/>
    </xf>
    <xf numFmtId="0" fontId="0" fillId="0" borderId="8" xfId="3" applyFont="1" applyBorder="1"/>
    <xf numFmtId="0" fontId="12" fillId="0" borderId="8" xfId="3" applyFont="1" applyBorder="1" applyAlignment="1">
      <alignment horizontal="left"/>
    </xf>
    <xf numFmtId="165" fontId="12" fillId="0" borderId="9" xfId="3" applyNumberFormat="1" applyFont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3" fillId="0" borderId="25" xfId="3" applyFont="1" applyBorder="1" applyAlignment="1">
      <alignment vertical="center"/>
    </xf>
    <xf numFmtId="0" fontId="13" fillId="0" borderId="27" xfId="3" applyFont="1" applyBorder="1" applyAlignment="1">
      <alignment vertical="center"/>
    </xf>
    <xf numFmtId="0" fontId="14" fillId="0" borderId="0" xfId="3" applyFont="1"/>
    <xf numFmtId="0" fontId="15" fillId="0" borderId="0" xfId="3" applyFont="1"/>
    <xf numFmtId="0" fontId="16" fillId="0" borderId="0" xfId="3" applyFont="1"/>
    <xf numFmtId="0" fontId="17" fillId="0" borderId="0" xfId="3" applyFont="1"/>
    <xf numFmtId="0" fontId="18" fillId="0" borderId="0" xfId="3" applyFont="1"/>
    <xf numFmtId="0" fontId="17" fillId="0" borderId="0" xfId="3" applyFont="1" applyAlignment="1">
      <alignment horizontal="center"/>
    </xf>
    <xf numFmtId="165" fontId="18" fillId="0" borderId="0" xfId="3" applyNumberFormat="1" applyFont="1"/>
    <xf numFmtId="10" fontId="18" fillId="0" borderId="0" xfId="3" applyNumberFormat="1" applyFont="1"/>
    <xf numFmtId="165" fontId="18" fillId="0" borderId="19" xfId="3" applyNumberFormat="1" applyFont="1" applyBorder="1" applyAlignment="1"/>
    <xf numFmtId="165" fontId="18" fillId="0" borderId="0" xfId="3" applyNumberFormat="1" applyFont="1" applyBorder="1" applyAlignment="1"/>
    <xf numFmtId="43" fontId="20" fillId="0" borderId="0" xfId="3" applyNumberFormat="1" applyFont="1" applyBorder="1" applyAlignment="1"/>
    <xf numFmtId="0" fontId="20" fillId="0" borderId="0" xfId="3" applyFont="1" applyBorder="1" applyAlignment="1"/>
    <xf numFmtId="0" fontId="18" fillId="0" borderId="0" xfId="3" applyFont="1" applyAlignment="1"/>
    <xf numFmtId="10" fontId="18" fillId="0" borderId="0" xfId="3" applyNumberFormat="1" applyFont="1" applyAlignment="1"/>
    <xf numFmtId="0" fontId="12" fillId="0" borderId="0" xfId="3" applyFont="1" applyBorder="1" applyAlignment="1"/>
    <xf numFmtId="0" fontId="10" fillId="0" borderId="0" xfId="3" applyFont="1" applyBorder="1" applyAlignment="1"/>
    <xf numFmtId="10" fontId="12" fillId="0" borderId="0" xfId="3" applyNumberFormat="1" applyFont="1" applyBorder="1" applyAlignment="1"/>
    <xf numFmtId="0" fontId="21" fillId="0" borderId="0" xfId="3" applyFont="1" applyAlignment="1"/>
    <xf numFmtId="0" fontId="22" fillId="0" borderId="4" xfId="3" applyFont="1" applyBorder="1" applyAlignment="1">
      <alignment horizontal="center" vertical="top"/>
    </xf>
    <xf numFmtId="0" fontId="22" fillId="0" borderId="4" xfId="3" applyFont="1" applyBorder="1" applyAlignment="1">
      <alignment horizontal="center" wrapText="1"/>
    </xf>
    <xf numFmtId="166" fontId="22" fillId="0" borderId="4" xfId="3" applyNumberFormat="1" applyFont="1" applyBorder="1" applyAlignment="1">
      <alignment horizontal="right"/>
    </xf>
    <xf numFmtId="10" fontId="22" fillId="0" borderId="4" xfId="3" applyNumberFormat="1" applyFont="1" applyBorder="1" applyAlignment="1">
      <alignment horizontal="right"/>
    </xf>
    <xf numFmtId="164" fontId="23" fillId="0" borderId="4" xfId="1" applyFont="1" applyBorder="1" applyAlignment="1" applyProtection="1"/>
    <xf numFmtId="10" fontId="23" fillId="0" borderId="4" xfId="3" applyNumberFormat="1" applyFont="1" applyBorder="1"/>
    <xf numFmtId="4" fontId="23" fillId="0" borderId="4" xfId="3" applyNumberFormat="1" applyFont="1" applyBorder="1"/>
    <xf numFmtId="49" fontId="3" fillId="0" borderId="26" xfId="3" applyNumberFormat="1" applyFont="1" applyBorder="1" applyAlignment="1">
      <alignment horizontal="center"/>
    </xf>
    <xf numFmtId="0" fontId="22" fillId="0" borderId="4" xfId="3" applyFont="1" applyBorder="1" applyAlignment="1">
      <alignment horizontal="center"/>
    </xf>
    <xf numFmtId="0" fontId="22" fillId="0" borderId="4" xfId="3" applyFont="1" applyBorder="1" applyAlignment="1">
      <alignment horizontal="left"/>
    </xf>
    <xf numFmtId="10" fontId="22" fillId="0" borderId="4" xfId="2" applyNumberFormat="1" applyFont="1" applyBorder="1" applyAlignment="1" applyProtection="1">
      <alignment horizontal="right"/>
    </xf>
    <xf numFmtId="0" fontId="23" fillId="0" borderId="0" xfId="3" applyFont="1" applyAlignment="1">
      <alignment horizontal="center"/>
    </xf>
    <xf numFmtId="0" fontId="23" fillId="0" borderId="0" xfId="3" applyFont="1"/>
    <xf numFmtId="165" fontId="23" fillId="0" borderId="0" xfId="3" applyNumberFormat="1" applyFont="1"/>
    <xf numFmtId="164" fontId="23" fillId="0" borderId="0" xfId="1" applyFont="1" applyBorder="1" applyAlignment="1" applyProtection="1"/>
    <xf numFmtId="10" fontId="23" fillId="0" borderId="0" xfId="3" applyNumberFormat="1" applyFont="1"/>
    <xf numFmtId="0" fontId="24" fillId="0" borderId="0" xfId="3" applyFont="1"/>
    <xf numFmtId="164" fontId="22" fillId="0" borderId="31" xfId="1" applyFont="1" applyBorder="1" applyAlignment="1" applyProtection="1"/>
    <xf numFmtId="10" fontId="23" fillId="0" borderId="31" xfId="2" applyNumberFormat="1" applyFont="1" applyBorder="1" applyAlignment="1" applyProtection="1"/>
    <xf numFmtId="164" fontId="23" fillId="0" borderId="31" xfId="1" applyFont="1" applyBorder="1" applyAlignment="1" applyProtection="1"/>
    <xf numFmtId="10" fontId="23" fillId="0" borderId="31" xfId="3" applyNumberFormat="1" applyFont="1" applyBorder="1"/>
    <xf numFmtId="4" fontId="23" fillId="0" borderId="31" xfId="1" applyNumberFormat="1" applyFont="1" applyBorder="1" applyAlignment="1" applyProtection="1"/>
    <xf numFmtId="10" fontId="23" fillId="0" borderId="32" xfId="3" applyNumberFormat="1" applyFont="1" applyBorder="1"/>
    <xf numFmtId="164" fontId="22" fillId="0" borderId="34" xfId="1" applyFont="1" applyBorder="1" applyAlignment="1" applyProtection="1"/>
    <xf numFmtId="10" fontId="23" fillId="0" borderId="34" xfId="2" applyNumberFormat="1" applyFont="1" applyBorder="1" applyAlignment="1" applyProtection="1"/>
    <xf numFmtId="164" fontId="23" fillId="0" borderId="34" xfId="1" applyFont="1" applyBorder="1" applyAlignment="1" applyProtection="1"/>
    <xf numFmtId="4" fontId="23" fillId="0" borderId="34" xfId="1" applyNumberFormat="1" applyFont="1" applyBorder="1" applyAlignment="1" applyProtection="1"/>
    <xf numFmtId="164" fontId="25" fillId="0" borderId="34" xfId="1" applyFont="1" applyBorder="1" applyAlignment="1" applyProtection="1"/>
    <xf numFmtId="164" fontId="22" fillId="0" borderId="36" xfId="1" applyFont="1" applyBorder="1" applyAlignment="1" applyProtection="1"/>
    <xf numFmtId="164" fontId="23" fillId="0" borderId="36" xfId="1" applyFont="1" applyBorder="1" applyAlignment="1" applyProtection="1"/>
    <xf numFmtId="0" fontId="13" fillId="0" borderId="27" xfId="3" applyFont="1" applyBorder="1" applyAlignment="1">
      <alignment vertical="center" wrapText="1"/>
    </xf>
    <xf numFmtId="164" fontId="1" fillId="0" borderId="4" xfId="1" applyFont="1" applyFill="1" applyBorder="1" applyAlignment="1">
      <alignment horizontal="center" vertical="center"/>
    </xf>
    <xf numFmtId="164" fontId="5" fillId="2" borderId="4" xfId="1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/>
    </xf>
    <xf numFmtId="0" fontId="10" fillId="0" borderId="0" xfId="0" applyFont="1"/>
    <xf numFmtId="0" fontId="27" fillId="0" borderId="0" xfId="0" applyFont="1"/>
    <xf numFmtId="0" fontId="28" fillId="0" borderId="0" xfId="0" applyFont="1"/>
    <xf numFmtId="0" fontId="29" fillId="0" borderId="5" xfId="0" applyFont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11" fillId="0" borderId="27" xfId="0" applyFont="1" applyBorder="1" applyAlignment="1">
      <alignment vertical="center"/>
    </xf>
    <xf numFmtId="0" fontId="10" fillId="0" borderId="27" xfId="0" applyFont="1" applyBorder="1" applyAlignment="1">
      <alignment horizontal="center"/>
    </xf>
    <xf numFmtId="4" fontId="29" fillId="0" borderId="28" xfId="0" applyNumberFormat="1" applyFont="1" applyBorder="1"/>
    <xf numFmtId="0" fontId="12" fillId="0" borderId="17" xfId="0" applyFont="1" applyBorder="1"/>
    <xf numFmtId="0" fontId="12" fillId="0" borderId="3" xfId="0" applyFont="1" applyBorder="1"/>
    <xf numFmtId="4" fontId="12" fillId="0" borderId="1" xfId="0" applyNumberFormat="1" applyFont="1" applyBorder="1"/>
    <xf numFmtId="0" fontId="10" fillId="0" borderId="17" xfId="0" applyFont="1" applyBorder="1"/>
    <xf numFmtId="0" fontId="0" fillId="0" borderId="3" xfId="0" applyBorder="1"/>
    <xf numFmtId="0" fontId="0" fillId="0" borderId="2" xfId="0" applyBorder="1"/>
    <xf numFmtId="0" fontId="30" fillId="0" borderId="6" xfId="0" applyFont="1" applyBorder="1" applyAlignment="1">
      <alignment horizontal="left" vertical="center"/>
    </xf>
    <xf numFmtId="0" fontId="31" fillId="0" borderId="5" xfId="0" applyFont="1" applyBorder="1" applyAlignment="1">
      <alignment vertical="center"/>
    </xf>
    <xf numFmtId="0" fontId="31" fillId="0" borderId="6" xfId="0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0" fontId="1" fillId="0" borderId="4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164" fontId="1" fillId="2" borderId="14" xfId="1" applyFont="1" applyFill="1" applyBorder="1" applyAlignment="1">
      <alignment horizontal="center" vertical="center" wrapText="1"/>
    </xf>
    <xf numFmtId="49" fontId="3" fillId="0" borderId="37" xfId="3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4" xfId="3" applyFont="1" applyBorder="1" applyAlignment="1">
      <alignment horizontal="center"/>
    </xf>
    <xf numFmtId="0" fontId="13" fillId="0" borderId="4" xfId="3" applyFont="1" applyBorder="1" applyAlignment="1">
      <alignment vertical="center"/>
    </xf>
    <xf numFmtId="10" fontId="0" fillId="0" borderId="4" xfId="3" applyNumberFormat="1" applyFont="1" applyBorder="1" applyAlignment="1">
      <alignment horizontal="center"/>
    </xf>
    <xf numFmtId="165" fontId="0" fillId="0" borderId="4" xfId="3" applyNumberFormat="1" applyFont="1" applyBorder="1"/>
    <xf numFmtId="49" fontId="1" fillId="0" borderId="4" xfId="3" applyNumberFormat="1" applyFont="1" applyBorder="1" applyAlignment="1">
      <alignment horizontal="center"/>
    </xf>
    <xf numFmtId="0" fontId="13" fillId="0" borderId="4" xfId="3" applyFont="1" applyBorder="1" applyAlignment="1">
      <alignment vertical="center" wrapText="1"/>
    </xf>
    <xf numFmtId="10" fontId="10" fillId="5" borderId="4" xfId="3" applyNumberFormat="1" applyFont="1" applyFill="1" applyBorder="1" applyAlignment="1">
      <alignment horizontal="center"/>
    </xf>
    <xf numFmtId="10" fontId="0" fillId="0" borderId="4" xfId="1" applyNumberFormat="1" applyFont="1" applyBorder="1" applyAlignment="1" applyProtection="1">
      <alignment horizontal="center"/>
    </xf>
    <xf numFmtId="9" fontId="0" fillId="0" borderId="4" xfId="3" applyNumberFormat="1" applyFont="1" applyBorder="1" applyAlignment="1">
      <alignment horizontal="center"/>
    </xf>
    <xf numFmtId="2" fontId="10" fillId="6" borderId="4" xfId="3" applyNumberFormat="1" applyFont="1" applyFill="1" applyBorder="1" applyAlignment="1">
      <alignment horizontal="center"/>
    </xf>
    <xf numFmtId="165" fontId="10" fillId="5" borderId="4" xfId="3" applyNumberFormat="1" applyFont="1" applyFill="1" applyBorder="1"/>
    <xf numFmtId="49" fontId="9" fillId="0" borderId="13" xfId="3" applyNumberFormat="1" applyFont="1" applyBorder="1" applyAlignment="1">
      <alignment horizontal="center"/>
    </xf>
    <xf numFmtId="0" fontId="13" fillId="0" borderId="20" xfId="3" applyFont="1" applyBorder="1" applyAlignment="1">
      <alignment vertical="center"/>
    </xf>
    <xf numFmtId="164" fontId="0" fillId="0" borderId="20" xfId="1" applyFont="1" applyBorder="1" applyAlignment="1" applyProtection="1"/>
    <xf numFmtId="0" fontId="10" fillId="0" borderId="14" xfId="3" applyFont="1" applyBorder="1" applyAlignment="1">
      <alignment horizontal="center"/>
    </xf>
    <xf numFmtId="0" fontId="10" fillId="0" borderId="16" xfId="3" applyFont="1" applyBorder="1" applyAlignment="1">
      <alignment horizontal="center"/>
    </xf>
    <xf numFmtId="0" fontId="10" fillId="0" borderId="4" xfId="3" applyFont="1" applyBorder="1" applyAlignment="1">
      <alignment wrapText="1"/>
    </xf>
    <xf numFmtId="0" fontId="10" fillId="0" borderId="4" xfId="3" applyFont="1" applyBorder="1" applyAlignment="1">
      <alignment horizontal="center" wrapText="1"/>
    </xf>
    <xf numFmtId="167" fontId="23" fillId="0" borderId="4" xfId="3" applyNumberFormat="1" applyFont="1" applyBorder="1"/>
    <xf numFmtId="43" fontId="1" fillId="0" borderId="24" xfId="0" applyNumberFormat="1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164" fontId="5" fillId="2" borderId="38" xfId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 wrapText="1"/>
    </xf>
    <xf numFmtId="43" fontId="1" fillId="0" borderId="4" xfId="0" applyNumberFormat="1" applyFont="1" applyFill="1" applyBorder="1" applyAlignment="1">
      <alignment vertical="center"/>
    </xf>
    <xf numFmtId="0" fontId="5" fillId="0" borderId="0" xfId="0" applyFont="1" applyAlignment="1">
      <alignment vertical="center" wrapText="1"/>
    </xf>
    <xf numFmtId="10" fontId="23" fillId="0" borderId="31" xfId="2" applyNumberFormat="1" applyFont="1" applyBorder="1"/>
    <xf numFmtId="0" fontId="1" fillId="3" borderId="14" xfId="0" applyFont="1" applyFill="1" applyBorder="1" applyAlignment="1">
      <alignment horizontal="left" vertical="center"/>
    </xf>
    <xf numFmtId="164" fontId="1" fillId="3" borderId="4" xfId="1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4" fontId="2" fillId="4" borderId="1" xfId="0" applyNumberFormat="1" applyFont="1" applyFill="1" applyBorder="1" applyAlignment="1">
      <alignment horizontal="center" vertical="center" wrapText="1"/>
    </xf>
    <xf numFmtId="164" fontId="2" fillId="4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164" fontId="5" fillId="2" borderId="4" xfId="1" applyFont="1" applyFill="1" applyBorder="1" applyAlignment="1">
      <alignment horizontal="center" vertical="center"/>
    </xf>
    <xf numFmtId="10" fontId="0" fillId="0" borderId="21" xfId="3" applyNumberFormat="1" applyFont="1" applyBorder="1" applyAlignment="1">
      <alignment horizontal="center"/>
    </xf>
    <xf numFmtId="165" fontId="0" fillId="0" borderId="21" xfId="3" applyNumberFormat="1" applyFont="1" applyBorder="1"/>
    <xf numFmtId="164" fontId="1" fillId="0" borderId="13" xfId="1" applyFont="1" applyFill="1" applyBorder="1" applyAlignment="1">
      <alignment vertical="center" wrapText="1"/>
    </xf>
    <xf numFmtId="0" fontId="1" fillId="0" borderId="21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164" fontId="1" fillId="2" borderId="22" xfId="1" applyFont="1" applyFill="1" applyBorder="1" applyAlignment="1">
      <alignment horizontal="center" vertical="center" wrapText="1"/>
    </xf>
    <xf numFmtId="164" fontId="5" fillId="0" borderId="20" xfId="1" applyFont="1" applyFill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164" fontId="5" fillId="0" borderId="4" xfId="1" applyFont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/>
    <xf numFmtId="0" fontId="5" fillId="0" borderId="4" xfId="0" applyFont="1" applyBorder="1" applyAlignment="1">
      <alignment horizontal="right" vertical="center"/>
    </xf>
    <xf numFmtId="0" fontId="2" fillId="4" borderId="5" xfId="0" applyFont="1" applyFill="1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164" fontId="2" fillId="0" borderId="0" xfId="1" applyFont="1" applyFill="1" applyBorder="1" applyAlignment="1">
      <alignment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right" vertical="center"/>
    </xf>
    <xf numFmtId="0" fontId="2" fillId="0" borderId="18" xfId="0" applyFont="1" applyFill="1" applyBorder="1" applyAlignment="1">
      <alignment horizontal="right" vertical="center"/>
    </xf>
    <xf numFmtId="0" fontId="2" fillId="0" borderId="19" xfId="0" applyFont="1" applyFill="1" applyBorder="1" applyAlignment="1">
      <alignment horizontal="right" vertical="center"/>
    </xf>
    <xf numFmtId="164" fontId="2" fillId="0" borderId="0" xfId="1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0" fillId="0" borderId="4" xfId="3" applyFont="1" applyBorder="1" applyAlignment="1">
      <alignment horizontal="center"/>
    </xf>
    <xf numFmtId="0" fontId="10" fillId="0" borderId="6" xfId="3" applyFont="1" applyBorder="1" applyAlignment="1">
      <alignment horizontal="center"/>
    </xf>
    <xf numFmtId="0" fontId="10" fillId="0" borderId="7" xfId="3" applyFont="1" applyBorder="1" applyAlignment="1">
      <alignment horizontal="center"/>
    </xf>
    <xf numFmtId="0" fontId="10" fillId="0" borderId="8" xfId="3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10" fillId="0" borderId="9" xfId="3" applyFont="1" applyBorder="1" applyAlignment="1">
      <alignment horizontal="center"/>
    </xf>
    <xf numFmtId="0" fontId="10" fillId="0" borderId="29" xfId="3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0" fontId="22" fillId="0" borderId="4" xfId="3" applyFont="1" applyBorder="1" applyAlignment="1">
      <alignment horizontal="center" vertical="center"/>
    </xf>
    <xf numFmtId="0" fontId="22" fillId="0" borderId="4" xfId="3" applyFont="1" applyBorder="1" applyAlignment="1">
      <alignment horizontal="center" vertical="center" wrapText="1"/>
    </xf>
    <xf numFmtId="0" fontId="22" fillId="0" borderId="4" xfId="3" applyFont="1" applyBorder="1" applyAlignment="1">
      <alignment horizontal="center"/>
    </xf>
    <xf numFmtId="0" fontId="20" fillId="0" borderId="0" xfId="3" applyFont="1" applyBorder="1" applyAlignment="1"/>
    <xf numFmtId="0" fontId="22" fillId="0" borderId="30" xfId="3" applyFont="1" applyBorder="1" applyAlignment="1">
      <alignment horizontal="left"/>
    </xf>
    <xf numFmtId="0" fontId="22" fillId="0" borderId="33" xfId="3" applyFont="1" applyBorder="1" applyAlignment="1">
      <alignment horizontal="left"/>
    </xf>
    <xf numFmtId="0" fontId="22" fillId="0" borderId="35" xfId="3" applyFont="1" applyBorder="1" applyAlignment="1">
      <alignment horizontal="left"/>
    </xf>
  </cellXfs>
  <cellStyles count="4">
    <cellStyle name="Normal" xfId="0" builtinId="0"/>
    <cellStyle name="Porcentagem" xfId="2" builtinId="5"/>
    <cellStyle name="TableStyleLight1" xfId="3"/>
    <cellStyle name="Vírgula" xfId="1" builtinId="3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266700</xdr:colOff>
      <xdr:row>0</xdr:row>
      <xdr:rowOff>737303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5800" cy="7373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0</xdr:row>
      <xdr:rowOff>171449</xdr:rowOff>
    </xdr:from>
    <xdr:to>
      <xdr:col>1</xdr:col>
      <xdr:colOff>390525</xdr:colOff>
      <xdr:row>3</xdr:row>
      <xdr:rowOff>133424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71449"/>
          <a:ext cx="762000" cy="819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619125</xdr:colOff>
      <xdr:row>0</xdr:row>
      <xdr:rowOff>133350</xdr:rowOff>
    </xdr:from>
    <xdr:to>
      <xdr:col>2</xdr:col>
      <xdr:colOff>619125</xdr:colOff>
      <xdr:row>5</xdr:row>
      <xdr:rowOff>123825</xdr:rowOff>
    </xdr:to>
    <xdr:pic>
      <xdr:nvPicPr>
        <xdr:cNvPr id="7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1104900"/>
          <a:ext cx="70485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3362324</xdr:colOff>
      <xdr:row>0</xdr:row>
      <xdr:rowOff>85725</xdr:rowOff>
    </xdr:from>
    <xdr:to>
      <xdr:col>1</xdr:col>
      <xdr:colOff>4114799</xdr:colOff>
      <xdr:row>5</xdr:row>
      <xdr:rowOff>228452</xdr:rowOff>
    </xdr:to>
    <xdr:pic>
      <xdr:nvPicPr>
        <xdr:cNvPr id="8" name="Imagem 7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1924" y="85725"/>
          <a:ext cx="752475" cy="952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238125</xdr:colOff>
      <xdr:row>0</xdr:row>
      <xdr:rowOff>0</xdr:rowOff>
    </xdr:from>
    <xdr:to>
      <xdr:col>14</xdr:col>
      <xdr:colOff>123824</xdr:colOff>
      <xdr:row>3</xdr:row>
      <xdr:rowOff>142875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44150" y="0"/>
          <a:ext cx="609599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FORMA%20PAM\Users\Luciano\Desktop\2014\PLANILHA%20ILUMINA&#199;&#195;O%20EST&#193;DIO%20-%20original%20licita&#231;&#227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"/>
      <sheetName val="PLAN"/>
      <sheetName val="CRONO-FISICO FINANC."/>
      <sheetName val="CRONO-GERAL"/>
    </sheetNames>
    <sheetDataSet>
      <sheetData sheetId="0">
        <row r="16">
          <cell r="B16" t="str">
            <v>SERVIÇOS PRELIMINARES</v>
          </cell>
        </row>
      </sheetData>
      <sheetData sheetId="1"/>
      <sheetData sheetId="2"/>
      <sheetData sheetId="3">
        <row r="10">
          <cell r="K10">
            <v>0</v>
          </cell>
        </row>
        <row r="22">
          <cell r="H2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82"/>
  <sheetViews>
    <sheetView zoomScaleNormal="100" workbookViewId="0">
      <selection activeCell="I80" sqref="I80"/>
    </sheetView>
  </sheetViews>
  <sheetFormatPr defaultRowHeight="12.75"/>
  <cols>
    <col min="1" max="1" width="6.28515625" style="3" customWidth="1"/>
    <col min="2" max="2" width="12.5703125" style="3" customWidth="1"/>
    <col min="3" max="3" width="59.7109375" style="4" customWidth="1"/>
    <col min="4" max="4" width="6.28515625" style="5" bestFit="1" customWidth="1"/>
    <col min="5" max="5" width="9.28515625" style="6" customWidth="1"/>
    <col min="6" max="7" width="11.28515625" style="5" customWidth="1"/>
    <col min="8" max="8" width="12.28515625" style="58" customWidth="1"/>
    <col min="9" max="16384" width="9.140625" style="3"/>
  </cols>
  <sheetData>
    <row r="1" spans="1:10" ht="63" customHeight="1" thickBot="1">
      <c r="A1" s="266" t="s">
        <v>33</v>
      </c>
      <c r="B1" s="267"/>
      <c r="C1" s="267"/>
      <c r="D1" s="267"/>
      <c r="E1" s="267"/>
      <c r="F1" s="267"/>
      <c r="G1" s="267"/>
      <c r="H1" s="268"/>
    </row>
    <row r="2" spans="1:10" ht="9" customHeight="1" thickBot="1"/>
    <row r="3" spans="1:10" ht="38.25" customHeight="1">
      <c r="A3" s="193" t="s">
        <v>125</v>
      </c>
      <c r="B3" s="194"/>
      <c r="C3" s="192"/>
      <c r="D3" s="7"/>
      <c r="E3" s="8"/>
      <c r="F3" s="272" t="s">
        <v>133</v>
      </c>
      <c r="G3" s="273"/>
      <c r="H3" s="274"/>
      <c r="J3" s="232"/>
    </row>
    <row r="4" spans="1:10" ht="15.75">
      <c r="A4" s="9" t="s">
        <v>30</v>
      </c>
      <c r="B4" s="30"/>
      <c r="C4" s="10"/>
      <c r="D4" s="10"/>
      <c r="E4" s="11"/>
      <c r="F4" s="105" t="s">
        <v>147</v>
      </c>
      <c r="G4" s="236"/>
      <c r="H4" s="59"/>
    </row>
    <row r="5" spans="1:10" ht="13.5" thickBot="1">
      <c r="A5" s="12" t="s">
        <v>115</v>
      </c>
      <c r="B5" s="31"/>
      <c r="C5" s="13"/>
      <c r="D5" s="14"/>
      <c r="E5" s="15"/>
      <c r="F5" s="269"/>
      <c r="G5" s="270"/>
      <c r="H5" s="271"/>
    </row>
    <row r="6" spans="1:10" ht="35.25" customHeight="1" thickBot="1">
      <c r="A6" s="275" t="s">
        <v>149</v>
      </c>
      <c r="B6" s="276"/>
      <c r="C6" s="195"/>
      <c r="D6" s="277" t="s">
        <v>114</v>
      </c>
      <c r="E6" s="278"/>
      <c r="F6" s="278"/>
      <c r="G6" s="278"/>
      <c r="H6" s="279"/>
    </row>
    <row r="7" spans="1:10" ht="15.75" thickBot="1">
      <c r="A7" s="75" t="s">
        <v>0</v>
      </c>
      <c r="B7" s="76"/>
      <c r="C7" s="76"/>
      <c r="D7" s="76"/>
      <c r="E7" s="76"/>
      <c r="F7" s="76"/>
      <c r="G7" s="76"/>
      <c r="H7" s="77"/>
    </row>
    <row r="8" spans="1:10" ht="8.25" customHeight="1" thickBot="1">
      <c r="A8" s="86"/>
      <c r="B8" s="86"/>
      <c r="C8" s="87"/>
      <c r="D8" s="10"/>
      <c r="E8" s="11"/>
      <c r="F8" s="265"/>
      <c r="G8" s="265"/>
      <c r="H8" s="265"/>
    </row>
    <row r="9" spans="1:10" ht="26.25" thickBot="1">
      <c r="A9" s="47" t="s">
        <v>13</v>
      </c>
      <c r="B9" s="47" t="s">
        <v>29</v>
      </c>
      <c r="C9" s="47" t="s">
        <v>14</v>
      </c>
      <c r="D9" s="47" t="s">
        <v>15</v>
      </c>
      <c r="E9" s="48" t="s">
        <v>16</v>
      </c>
      <c r="F9" s="237" t="s">
        <v>108</v>
      </c>
      <c r="G9" s="237" t="s">
        <v>109</v>
      </c>
      <c r="H9" s="238" t="s">
        <v>110</v>
      </c>
    </row>
    <row r="10" spans="1:10" ht="9" customHeight="1"/>
    <row r="11" spans="1:10" ht="9" customHeight="1" thickBot="1">
      <c r="A11" s="17"/>
      <c r="B11" s="17"/>
      <c r="C11" s="21"/>
      <c r="D11" s="22"/>
      <c r="E11" s="23"/>
      <c r="F11" s="22"/>
      <c r="G11" s="92"/>
      <c r="H11" s="60"/>
    </row>
    <row r="12" spans="1:10" ht="13.5" thickBot="1">
      <c r="A12" s="44" t="s">
        <v>1</v>
      </c>
      <c r="B12" s="44"/>
      <c r="C12" s="78" t="s">
        <v>17</v>
      </c>
      <c r="D12" s="79"/>
      <c r="E12" s="79"/>
      <c r="F12" s="79"/>
      <c r="G12" s="79"/>
      <c r="H12" s="80"/>
    </row>
    <row r="13" spans="1:10">
      <c r="A13" s="36"/>
      <c r="B13" s="96"/>
      <c r="C13" s="45"/>
      <c r="D13" s="46"/>
      <c r="E13" s="52"/>
      <c r="F13" s="102"/>
      <c r="G13" s="92"/>
      <c r="H13" s="103"/>
    </row>
    <row r="14" spans="1:10" ht="38.25">
      <c r="A14" s="66" t="s">
        <v>155</v>
      </c>
      <c r="B14" s="69" t="s">
        <v>130</v>
      </c>
      <c r="C14" s="104" t="s">
        <v>136</v>
      </c>
      <c r="D14" s="72" t="s">
        <v>12</v>
      </c>
      <c r="E14" s="198">
        <v>2</v>
      </c>
      <c r="F14" s="173">
        <v>385.43</v>
      </c>
      <c r="G14" s="92">
        <f>TRUNC(F14*1.26501,2)</f>
        <v>487.57</v>
      </c>
      <c r="H14" s="244">
        <f t="shared" ref="H14:H18" si="0">TRUNC((E14*G14),2)</f>
        <v>975.14</v>
      </c>
      <c r="I14" s="106"/>
    </row>
    <row r="15" spans="1:10" ht="25.5">
      <c r="A15" s="66" t="s">
        <v>156</v>
      </c>
      <c r="B15" s="66">
        <v>90822</v>
      </c>
      <c r="C15" s="104" t="s">
        <v>100</v>
      </c>
      <c r="D15" s="70" t="s">
        <v>12</v>
      </c>
      <c r="E15" s="198">
        <v>12</v>
      </c>
      <c r="F15" s="173">
        <v>334.37</v>
      </c>
      <c r="G15" s="92">
        <f t="shared" ref="G15:G18" si="1">TRUNC(F15*1.26501,2)</f>
        <v>422.98</v>
      </c>
      <c r="H15" s="244">
        <f t="shared" si="0"/>
        <v>5075.76</v>
      </c>
      <c r="I15" s="106"/>
    </row>
    <row r="16" spans="1:10" ht="38.25">
      <c r="A16" s="66" t="s">
        <v>157</v>
      </c>
      <c r="B16" s="66">
        <v>90831</v>
      </c>
      <c r="C16" s="104" t="s">
        <v>98</v>
      </c>
      <c r="D16" s="70" t="s">
        <v>12</v>
      </c>
      <c r="E16" s="84">
        <v>5</v>
      </c>
      <c r="F16" s="173">
        <v>63.77</v>
      </c>
      <c r="G16" s="92">
        <f t="shared" si="1"/>
        <v>80.66</v>
      </c>
      <c r="H16" s="91">
        <f t="shared" si="0"/>
        <v>403.3</v>
      </c>
    </row>
    <row r="17" spans="1:8" ht="38.25">
      <c r="A17" s="66" t="s">
        <v>158</v>
      </c>
      <c r="B17" s="245">
        <v>90830</v>
      </c>
      <c r="C17" s="110" t="s">
        <v>102</v>
      </c>
      <c r="D17" s="246" t="s">
        <v>12</v>
      </c>
      <c r="E17" s="247">
        <v>3</v>
      </c>
      <c r="F17" s="95">
        <v>81.34</v>
      </c>
      <c r="G17" s="92">
        <f t="shared" si="1"/>
        <v>102.89</v>
      </c>
      <c r="H17" s="248">
        <f t="shared" si="0"/>
        <v>308.67</v>
      </c>
    </row>
    <row r="18" spans="1:8" ht="30" customHeight="1">
      <c r="A18" s="66" t="s">
        <v>159</v>
      </c>
      <c r="B18" s="63">
        <v>91307</v>
      </c>
      <c r="C18" s="249" t="s">
        <v>121</v>
      </c>
      <c r="D18" s="70" t="s">
        <v>12</v>
      </c>
      <c r="E18" s="241">
        <v>6</v>
      </c>
      <c r="F18" s="253">
        <v>48.62</v>
      </c>
      <c r="G18" s="92">
        <f t="shared" si="1"/>
        <v>61.5</v>
      </c>
      <c r="H18" s="250">
        <f t="shared" si="0"/>
        <v>369</v>
      </c>
    </row>
    <row r="19" spans="1:8" ht="15" customHeight="1">
      <c r="A19" s="263" t="s">
        <v>10</v>
      </c>
      <c r="B19" s="264"/>
      <c r="C19" s="264"/>
      <c r="D19" s="264"/>
      <c r="E19" s="264"/>
      <c r="F19" s="230"/>
      <c r="G19" s="92"/>
      <c r="H19" s="85">
        <f>SUM(H14:H18)</f>
        <v>7131.8700000000008</v>
      </c>
    </row>
    <row r="20" spans="1:8" ht="9" customHeight="1" thickBot="1">
      <c r="G20" s="92"/>
    </row>
    <row r="21" spans="1:8" ht="13.5" thickBot="1">
      <c r="A21" s="44" t="s">
        <v>2</v>
      </c>
      <c r="B21" s="44"/>
      <c r="C21" s="78" t="s">
        <v>18</v>
      </c>
      <c r="D21" s="79"/>
      <c r="E21" s="79"/>
      <c r="F21" s="79"/>
      <c r="G21" s="79"/>
      <c r="H21" s="80"/>
    </row>
    <row r="22" spans="1:8">
      <c r="A22" s="203"/>
      <c r="B22" s="203"/>
      <c r="C22" s="204"/>
      <c r="D22" s="204"/>
      <c r="E22" s="204"/>
      <c r="F22" s="204"/>
      <c r="G22" s="92"/>
      <c r="H22" s="204"/>
    </row>
    <row r="23" spans="1:8" ht="38.25">
      <c r="A23" s="66" t="s">
        <v>160</v>
      </c>
      <c r="B23" s="66">
        <v>87264</v>
      </c>
      <c r="C23" s="64" t="s">
        <v>128</v>
      </c>
      <c r="D23" s="67" t="s">
        <v>4</v>
      </c>
      <c r="E23" s="84">
        <v>26.76</v>
      </c>
      <c r="F23" s="173">
        <v>50.52</v>
      </c>
      <c r="G23" s="92">
        <f>TRUNC(F23*1.26501,2)</f>
        <v>63.9</v>
      </c>
      <c r="H23" s="89">
        <f>TRUNC((G23*E23),2)</f>
        <v>1709.96</v>
      </c>
    </row>
    <row r="24" spans="1:8" ht="38.25">
      <c r="A24" s="66" t="s">
        <v>161</v>
      </c>
      <c r="B24" s="66">
        <v>87265</v>
      </c>
      <c r="C24" s="64" t="s">
        <v>129</v>
      </c>
      <c r="D24" s="67" t="s">
        <v>4</v>
      </c>
      <c r="E24" s="174">
        <v>54.63</v>
      </c>
      <c r="F24" s="173">
        <v>45.62</v>
      </c>
      <c r="G24" s="92">
        <f>TRUNC(F24*1.26501,2)</f>
        <v>57.7</v>
      </c>
      <c r="H24" s="89">
        <f>TRUNC((G24*E24),2)</f>
        <v>3152.15</v>
      </c>
    </row>
    <row r="25" spans="1:8" ht="12.75" customHeight="1">
      <c r="A25" s="261" t="s">
        <v>105</v>
      </c>
      <c r="B25" s="262"/>
      <c r="C25" s="262"/>
      <c r="D25" s="262"/>
      <c r="E25" s="262"/>
      <c r="F25" s="25"/>
      <c r="G25" s="92"/>
      <c r="H25" s="90">
        <f>SUM(H23:H23)</f>
        <v>1709.96</v>
      </c>
    </row>
    <row r="26" spans="1:8" ht="9" customHeight="1" thickBot="1">
      <c r="G26" s="92"/>
    </row>
    <row r="27" spans="1:8" ht="13.5" thickBot="1">
      <c r="A27" s="175" t="s">
        <v>3</v>
      </c>
      <c r="B27" s="175"/>
      <c r="C27" s="254" t="s">
        <v>19</v>
      </c>
      <c r="D27" s="79"/>
      <c r="E27" s="79"/>
      <c r="F27" s="79"/>
      <c r="G27" s="79"/>
      <c r="H27" s="80"/>
    </row>
    <row r="28" spans="1:8" ht="25.5">
      <c r="A28" s="66" t="s">
        <v>162</v>
      </c>
      <c r="B28" s="66">
        <v>94996</v>
      </c>
      <c r="C28" s="196" t="s">
        <v>137</v>
      </c>
      <c r="D28" s="72" t="s">
        <v>4</v>
      </c>
      <c r="E28" s="83">
        <v>45.75</v>
      </c>
      <c r="F28" s="92">
        <v>62.51</v>
      </c>
      <c r="G28" s="92">
        <f>TRUNC(F28*1.26501,2)</f>
        <v>79.069999999999993</v>
      </c>
      <c r="H28" s="91">
        <f>TRUNC((E28*G28),2)</f>
        <v>3617.45</v>
      </c>
    </row>
    <row r="29" spans="1:8" ht="25.5">
      <c r="A29" s="66" t="s">
        <v>163</v>
      </c>
      <c r="B29" s="73">
        <v>94990</v>
      </c>
      <c r="C29" s="196" t="s">
        <v>139</v>
      </c>
      <c r="D29" s="72" t="s">
        <v>138</v>
      </c>
      <c r="E29" s="83">
        <v>1.1299999999999999</v>
      </c>
      <c r="F29" s="92">
        <v>469.82</v>
      </c>
      <c r="G29" s="92">
        <f t="shared" ref="G29:G33" si="2">TRUNC(F29*1.26501,2)</f>
        <v>594.32000000000005</v>
      </c>
      <c r="H29" s="91">
        <f>TRUNC((E29*G29),2)</f>
        <v>671.58</v>
      </c>
    </row>
    <row r="30" spans="1:8" ht="38.25">
      <c r="A30" s="66" t="s">
        <v>164</v>
      </c>
      <c r="B30" s="73">
        <v>87258</v>
      </c>
      <c r="C30" s="205" t="s">
        <v>111</v>
      </c>
      <c r="D30" s="34" t="s">
        <v>4</v>
      </c>
      <c r="E30" s="83">
        <v>15.29</v>
      </c>
      <c r="F30" s="92">
        <v>95.2</v>
      </c>
      <c r="G30" s="92">
        <f t="shared" si="2"/>
        <v>120.42</v>
      </c>
      <c r="H30" s="91">
        <f>TRUNC((E30*G30),2)</f>
        <v>1841.22</v>
      </c>
    </row>
    <row r="31" spans="1:8" ht="38.25">
      <c r="A31" s="66" t="s">
        <v>165</v>
      </c>
      <c r="B31" s="73">
        <v>87259</v>
      </c>
      <c r="C31" s="196" t="s">
        <v>132</v>
      </c>
      <c r="D31" s="72" t="s">
        <v>4</v>
      </c>
      <c r="E31" s="83">
        <v>20.69</v>
      </c>
      <c r="F31" s="92">
        <v>87.21</v>
      </c>
      <c r="G31" s="92">
        <f t="shared" si="2"/>
        <v>110.32</v>
      </c>
      <c r="H31" s="91">
        <f>TRUNC((E31*G31),2)</f>
        <v>2282.52</v>
      </c>
    </row>
    <row r="32" spans="1:8" ht="38.25">
      <c r="A32" s="66" t="s">
        <v>166</v>
      </c>
      <c r="B32" s="18">
        <v>87260</v>
      </c>
      <c r="C32" s="196" t="s">
        <v>112</v>
      </c>
      <c r="D32" s="35" t="s">
        <v>4</v>
      </c>
      <c r="E32" s="84">
        <v>123.83</v>
      </c>
      <c r="F32" s="20">
        <v>82.57</v>
      </c>
      <c r="G32" s="92">
        <f t="shared" si="2"/>
        <v>104.45</v>
      </c>
      <c r="H32" s="91">
        <f t="shared" ref="H32:H33" si="3">TRUNC((E32*G32),2)</f>
        <v>12934.04</v>
      </c>
    </row>
    <row r="33" spans="1:8" ht="25.5">
      <c r="A33" s="66" t="s">
        <v>167</v>
      </c>
      <c r="B33" s="18">
        <v>88649</v>
      </c>
      <c r="C33" s="196" t="s">
        <v>134</v>
      </c>
      <c r="D33" s="67" t="s">
        <v>104</v>
      </c>
      <c r="E33" s="84">
        <v>160</v>
      </c>
      <c r="F33" s="20">
        <v>5.22</v>
      </c>
      <c r="G33" s="92">
        <f t="shared" si="2"/>
        <v>6.6</v>
      </c>
      <c r="H33" s="91">
        <f t="shared" si="3"/>
        <v>1056</v>
      </c>
    </row>
    <row r="34" spans="1:8" ht="12.75" customHeight="1">
      <c r="A34" s="261" t="s">
        <v>8</v>
      </c>
      <c r="B34" s="262"/>
      <c r="C34" s="262"/>
      <c r="D34" s="262"/>
      <c r="E34" s="262"/>
      <c r="F34" s="25"/>
      <c r="G34" s="92"/>
      <c r="H34" s="90">
        <f>SUM(H30:H33)</f>
        <v>18113.78</v>
      </c>
    </row>
    <row r="35" spans="1:8" ht="9" customHeight="1" thickBot="1">
      <c r="G35" s="92"/>
    </row>
    <row r="36" spans="1:8" ht="13.5" thickBot="1">
      <c r="A36" s="44" t="s">
        <v>5</v>
      </c>
      <c r="B36" s="44"/>
      <c r="C36" s="78" t="s">
        <v>20</v>
      </c>
      <c r="D36" s="79"/>
      <c r="E36" s="79"/>
      <c r="F36" s="79"/>
      <c r="G36" s="79"/>
      <c r="H36" s="80"/>
    </row>
    <row r="37" spans="1:8" ht="8.25" customHeight="1">
      <c r="A37" s="226"/>
      <c r="B37" s="226"/>
      <c r="C37" s="109"/>
      <c r="D37" s="227"/>
      <c r="E37" s="228"/>
      <c r="F37" s="229"/>
      <c r="G37" s="92"/>
      <c r="H37" s="225"/>
    </row>
    <row r="38" spans="1:8" ht="25.5">
      <c r="A38" s="66" t="s">
        <v>168</v>
      </c>
      <c r="B38" s="18">
        <v>88489</v>
      </c>
      <c r="C38" s="104" t="s">
        <v>103</v>
      </c>
      <c r="D38" s="35" t="s">
        <v>4</v>
      </c>
      <c r="E38" s="174">
        <v>570.84</v>
      </c>
      <c r="F38" s="20">
        <v>9.48</v>
      </c>
      <c r="G38" s="92">
        <f>TRUNC(F38*1.26501,2)</f>
        <v>11.99</v>
      </c>
      <c r="H38" s="231">
        <f>TRUNC((G38*E38),2)</f>
        <v>6844.37</v>
      </c>
    </row>
    <row r="39" spans="1:8">
      <c r="A39" s="66" t="s">
        <v>169</v>
      </c>
      <c r="B39" s="202">
        <v>79460</v>
      </c>
      <c r="C39" s="111" t="s">
        <v>127</v>
      </c>
      <c r="D39" s="35" t="s">
        <v>4</v>
      </c>
      <c r="E39" s="174">
        <v>100.2</v>
      </c>
      <c r="F39" s="20">
        <v>35.229999999999997</v>
      </c>
      <c r="G39" s="92">
        <f t="shared" ref="G39:G43" si="4">TRUNC(F39*1.26501,2)</f>
        <v>44.56</v>
      </c>
      <c r="H39" s="231">
        <f t="shared" ref="H39:H43" si="5">TRUNC((G39*E39),2)</f>
        <v>4464.91</v>
      </c>
    </row>
    <row r="40" spans="1:8">
      <c r="A40" s="66" t="s">
        <v>170</v>
      </c>
      <c r="B40" s="202" t="s">
        <v>122</v>
      </c>
      <c r="C40" s="111" t="s">
        <v>123</v>
      </c>
      <c r="D40" s="67" t="s">
        <v>4</v>
      </c>
      <c r="E40" s="84">
        <f>219.9+35.91</f>
        <v>255.81</v>
      </c>
      <c r="F40" s="173">
        <v>14.45</v>
      </c>
      <c r="G40" s="92">
        <f t="shared" si="4"/>
        <v>18.27</v>
      </c>
      <c r="H40" s="231">
        <f t="shared" si="5"/>
        <v>4673.6400000000003</v>
      </c>
    </row>
    <row r="41" spans="1:8">
      <c r="A41" s="66" t="s">
        <v>171</v>
      </c>
      <c r="B41" s="202">
        <v>84659</v>
      </c>
      <c r="C41" s="111" t="s">
        <v>101</v>
      </c>
      <c r="D41" s="67" t="s">
        <v>4</v>
      </c>
      <c r="E41" s="174">
        <v>47.88</v>
      </c>
      <c r="F41" s="20">
        <v>12.04</v>
      </c>
      <c r="G41" s="92">
        <f t="shared" si="4"/>
        <v>15.23</v>
      </c>
      <c r="H41" s="231">
        <f t="shared" si="5"/>
        <v>729.21</v>
      </c>
    </row>
    <row r="42" spans="1:8">
      <c r="A42" s="66" t="s">
        <v>172</v>
      </c>
      <c r="B42" s="202" t="s">
        <v>153</v>
      </c>
      <c r="C42" s="111" t="s">
        <v>154</v>
      </c>
      <c r="D42" s="67" t="s">
        <v>4</v>
      </c>
      <c r="E42" s="84">
        <v>8.5</v>
      </c>
      <c r="F42" s="20">
        <v>20.03</v>
      </c>
      <c r="G42" s="92">
        <f t="shared" si="4"/>
        <v>25.33</v>
      </c>
      <c r="H42" s="231">
        <f t="shared" si="5"/>
        <v>215.3</v>
      </c>
    </row>
    <row r="43" spans="1:8">
      <c r="A43" s="66" t="s">
        <v>173</v>
      </c>
      <c r="B43" s="202">
        <v>6082</v>
      </c>
      <c r="C43" s="111" t="s">
        <v>124</v>
      </c>
      <c r="D43" s="67" t="s">
        <v>4</v>
      </c>
      <c r="E43" s="84">
        <v>104.27</v>
      </c>
      <c r="F43" s="20">
        <v>13.24</v>
      </c>
      <c r="G43" s="92">
        <f t="shared" si="4"/>
        <v>16.739999999999998</v>
      </c>
      <c r="H43" s="231">
        <f t="shared" si="5"/>
        <v>1745.47</v>
      </c>
    </row>
    <row r="44" spans="1:8" ht="12.75" customHeight="1">
      <c r="A44" s="263" t="s">
        <v>10</v>
      </c>
      <c r="B44" s="264"/>
      <c r="C44" s="264"/>
      <c r="D44" s="264"/>
      <c r="E44" s="264"/>
      <c r="F44" s="230"/>
      <c r="G44" s="92"/>
      <c r="H44" s="85">
        <f>SUM(H37:H43)</f>
        <v>18672.899999999998</v>
      </c>
    </row>
    <row r="45" spans="1:8" ht="9" customHeight="1">
      <c r="G45" s="92"/>
    </row>
    <row r="46" spans="1:8" s="26" customFormat="1" ht="9" customHeight="1" thickBot="1">
      <c r="A46" s="27"/>
      <c r="B46" s="27"/>
      <c r="C46" s="16"/>
      <c r="D46" s="16"/>
      <c r="E46" s="53"/>
      <c r="F46" s="27"/>
      <c r="G46" s="92"/>
      <c r="H46" s="61"/>
    </row>
    <row r="47" spans="1:8" s="26" customFormat="1" ht="13.5" thickBot="1">
      <c r="A47" s="44" t="s">
        <v>6</v>
      </c>
      <c r="B47" s="44"/>
      <c r="C47" s="78" t="s">
        <v>21</v>
      </c>
      <c r="D47" s="79"/>
      <c r="E47" s="79"/>
      <c r="F47" s="79"/>
      <c r="G47" s="79"/>
      <c r="H47" s="80"/>
    </row>
    <row r="48" spans="1:8" s="26" customFormat="1">
      <c r="A48" s="36"/>
      <c r="B48" s="97"/>
      <c r="C48" s="38" t="s">
        <v>24</v>
      </c>
      <c r="D48" s="40"/>
      <c r="E48" s="54"/>
      <c r="F48" s="54"/>
      <c r="G48" s="92"/>
      <c r="H48" s="101"/>
    </row>
    <row r="49" spans="1:12" s="26" customFormat="1" ht="25.5">
      <c r="A49" s="69" t="s">
        <v>174</v>
      </c>
      <c r="B49" s="19">
        <v>95472</v>
      </c>
      <c r="C49" s="108" t="s">
        <v>113</v>
      </c>
      <c r="D49" s="98" t="s">
        <v>12</v>
      </c>
      <c r="E49" s="81">
        <v>4</v>
      </c>
      <c r="F49" s="92">
        <v>826.18</v>
      </c>
      <c r="G49" s="92">
        <f>TRUNC(F49*1.26501,2)</f>
        <v>1045.1199999999999</v>
      </c>
      <c r="H49" s="93">
        <f t="shared" ref="H49:H56" si="6">TRUNC((E49*G49),2)</f>
        <v>4180.4799999999996</v>
      </c>
    </row>
    <row r="50" spans="1:12" s="26" customFormat="1" ht="44.25" customHeight="1">
      <c r="A50" s="69" t="s">
        <v>175</v>
      </c>
      <c r="B50" s="66">
        <v>93396</v>
      </c>
      <c r="C50" s="251" t="s">
        <v>135</v>
      </c>
      <c r="D50" s="70" t="s">
        <v>12</v>
      </c>
      <c r="E50" s="82">
        <v>4</v>
      </c>
      <c r="F50" s="20">
        <v>491</v>
      </c>
      <c r="G50" s="92">
        <f t="shared" ref="G50:G56" si="7">TRUNC(F50*1.26501,2)</f>
        <v>621.11</v>
      </c>
      <c r="H50" s="93">
        <f t="shared" si="6"/>
        <v>2484.44</v>
      </c>
    </row>
    <row r="51" spans="1:12" s="26" customFormat="1">
      <c r="A51" s="69" t="s">
        <v>176</v>
      </c>
      <c r="B51" s="19">
        <v>95544</v>
      </c>
      <c r="C51" s="111" t="s">
        <v>31</v>
      </c>
      <c r="D51" s="70" t="s">
        <v>12</v>
      </c>
      <c r="E51" s="82">
        <v>4</v>
      </c>
      <c r="F51" s="20">
        <v>32.630000000000003</v>
      </c>
      <c r="G51" s="92">
        <f t="shared" si="7"/>
        <v>41.27</v>
      </c>
      <c r="H51" s="93">
        <f t="shared" si="6"/>
        <v>165.08</v>
      </c>
    </row>
    <row r="52" spans="1:12" s="26" customFormat="1" ht="25.5">
      <c r="A52" s="69" t="s">
        <v>177</v>
      </c>
      <c r="B52" s="19">
        <v>88571</v>
      </c>
      <c r="C52" s="107" t="s">
        <v>32</v>
      </c>
      <c r="D52" s="35" t="s">
        <v>12</v>
      </c>
      <c r="E52" s="82">
        <v>4</v>
      </c>
      <c r="F52" s="88">
        <v>43.52</v>
      </c>
      <c r="G52" s="92">
        <f t="shared" si="7"/>
        <v>55.05</v>
      </c>
      <c r="H52" s="93">
        <f t="shared" si="6"/>
        <v>220.2</v>
      </c>
    </row>
    <row r="53" spans="1:12" s="26" customFormat="1">
      <c r="A53" s="69" t="s">
        <v>178</v>
      </c>
      <c r="B53" s="99"/>
      <c r="C53" s="28" t="s">
        <v>25</v>
      </c>
      <c r="D53" s="37"/>
      <c r="E53" s="51"/>
      <c r="F53" s="51"/>
      <c r="G53" s="92"/>
      <c r="H53" s="93"/>
      <c r="L53" s="200"/>
    </row>
    <row r="54" spans="1:12" s="26" customFormat="1" ht="24" customHeight="1">
      <c r="A54" s="69" t="s">
        <v>179</v>
      </c>
      <c r="B54" s="19">
        <v>40729</v>
      </c>
      <c r="C54" s="100" t="s">
        <v>26</v>
      </c>
      <c r="D54" s="33" t="s">
        <v>12</v>
      </c>
      <c r="E54" s="81">
        <v>4</v>
      </c>
      <c r="F54" s="92">
        <v>182.06</v>
      </c>
      <c r="G54" s="92">
        <f t="shared" si="7"/>
        <v>230.3</v>
      </c>
      <c r="H54" s="93">
        <f t="shared" si="6"/>
        <v>921.2</v>
      </c>
    </row>
    <row r="55" spans="1:12" s="26" customFormat="1" ht="27.75" customHeight="1">
      <c r="A55" s="69" t="s">
        <v>180</v>
      </c>
      <c r="B55" s="69" t="s">
        <v>130</v>
      </c>
      <c r="C55" s="104" t="s">
        <v>143</v>
      </c>
      <c r="D55" s="35" t="s">
        <v>12</v>
      </c>
      <c r="E55" s="82">
        <v>4</v>
      </c>
      <c r="F55" s="88">
        <v>295.67</v>
      </c>
      <c r="G55" s="92">
        <f t="shared" si="7"/>
        <v>374.02</v>
      </c>
      <c r="H55" s="93">
        <f t="shared" si="6"/>
        <v>1496.08</v>
      </c>
    </row>
    <row r="56" spans="1:12" s="26" customFormat="1">
      <c r="A56" s="69" t="s">
        <v>181</v>
      </c>
      <c r="B56" s="69" t="s">
        <v>130</v>
      </c>
      <c r="C56" s="108" t="s">
        <v>144</v>
      </c>
      <c r="D56" s="70" t="s">
        <v>12</v>
      </c>
      <c r="E56" s="82">
        <v>4</v>
      </c>
      <c r="F56" s="20">
        <v>138.69</v>
      </c>
      <c r="G56" s="92">
        <f t="shared" si="7"/>
        <v>175.44</v>
      </c>
      <c r="H56" s="93">
        <f t="shared" si="6"/>
        <v>701.76</v>
      </c>
    </row>
    <row r="57" spans="1:12" s="26" customFormat="1" ht="12.75" customHeight="1">
      <c r="A57" s="261" t="s">
        <v>11</v>
      </c>
      <c r="B57" s="262"/>
      <c r="C57" s="262"/>
      <c r="D57" s="262"/>
      <c r="E57" s="262"/>
      <c r="F57" s="25"/>
      <c r="G57" s="92"/>
      <c r="H57" s="90">
        <f>SUM(H48:H56)</f>
        <v>10169.24</v>
      </c>
    </row>
    <row r="58" spans="1:12" s="26" customFormat="1" ht="9" customHeight="1" thickBot="1">
      <c r="A58" s="5"/>
      <c r="B58" s="5"/>
      <c r="C58" s="16"/>
      <c r="D58" s="16"/>
      <c r="E58" s="53"/>
      <c r="F58" s="27"/>
      <c r="G58" s="92"/>
      <c r="H58" s="61"/>
    </row>
    <row r="59" spans="1:12" s="26" customFormat="1" ht="13.5" thickBot="1">
      <c r="A59" s="175" t="s">
        <v>6</v>
      </c>
      <c r="B59" s="175"/>
      <c r="C59" s="254" t="s">
        <v>22</v>
      </c>
      <c r="D59" s="79"/>
      <c r="E59" s="79"/>
      <c r="F59" s="79"/>
      <c r="G59" s="79"/>
      <c r="H59" s="80"/>
    </row>
    <row r="60" spans="1:12" s="26" customFormat="1">
      <c r="A60" s="69" t="s">
        <v>174</v>
      </c>
      <c r="B60" s="71">
        <v>97632</v>
      </c>
      <c r="C60" s="108" t="s">
        <v>141</v>
      </c>
      <c r="D60" s="70" t="s">
        <v>140</v>
      </c>
      <c r="E60" s="82">
        <v>160</v>
      </c>
      <c r="F60" s="88">
        <v>1.5</v>
      </c>
      <c r="G60" s="253">
        <f>TRUNC(F60*1.26501,2)</f>
        <v>1.89</v>
      </c>
      <c r="H60" s="250">
        <f t="shared" ref="H60:H61" si="8">TRUNC((E60*G60),2)</f>
        <v>302.39999999999998</v>
      </c>
    </row>
    <row r="61" spans="1:12" s="26" customFormat="1">
      <c r="A61" s="69" t="s">
        <v>175</v>
      </c>
      <c r="B61" s="71">
        <v>97633</v>
      </c>
      <c r="C61" s="108" t="s">
        <v>142</v>
      </c>
      <c r="D61" s="70" t="s">
        <v>4</v>
      </c>
      <c r="E61" s="82">
        <f>SUM(E30,E31,E32)</f>
        <v>159.81</v>
      </c>
      <c r="F61" s="88">
        <v>6.68</v>
      </c>
      <c r="G61" s="253">
        <f t="shared" ref="G61:G64" si="9">TRUNC(F61*1.26501,2)</f>
        <v>8.4499999999999993</v>
      </c>
      <c r="H61" s="250">
        <f t="shared" si="8"/>
        <v>1350.39</v>
      </c>
    </row>
    <row r="62" spans="1:12" s="26" customFormat="1">
      <c r="A62" s="69" t="s">
        <v>176</v>
      </c>
      <c r="B62" s="257" t="s">
        <v>130</v>
      </c>
      <c r="C62" s="201" t="s">
        <v>131</v>
      </c>
      <c r="D62" s="70" t="s">
        <v>4</v>
      </c>
      <c r="E62" s="82">
        <v>100.38</v>
      </c>
      <c r="F62" s="253">
        <v>52.49</v>
      </c>
      <c r="G62" s="253">
        <f t="shared" si="9"/>
        <v>66.400000000000006</v>
      </c>
      <c r="H62" s="250">
        <f>TRUNC((E62*G62),2)</f>
        <v>6665.23</v>
      </c>
    </row>
    <row r="63" spans="1:12" s="26" customFormat="1">
      <c r="A63" s="69" t="s">
        <v>177</v>
      </c>
      <c r="B63" s="255" t="s">
        <v>146</v>
      </c>
      <c r="C63" s="201" t="s">
        <v>145</v>
      </c>
      <c r="D63" s="70" t="s">
        <v>4</v>
      </c>
      <c r="E63" s="82">
        <v>7.95</v>
      </c>
      <c r="F63" s="253">
        <v>277.58999999999997</v>
      </c>
      <c r="G63" s="253">
        <f t="shared" si="9"/>
        <v>351.15</v>
      </c>
      <c r="H63" s="250">
        <f>TRUNC((E63*G63),2)</f>
        <v>2791.64</v>
      </c>
    </row>
    <row r="64" spans="1:12" s="26" customFormat="1">
      <c r="A64" s="69" t="s">
        <v>178</v>
      </c>
      <c r="B64" s="256">
        <v>92539</v>
      </c>
      <c r="C64" s="251" t="s">
        <v>148</v>
      </c>
      <c r="D64" s="70" t="s">
        <v>4</v>
      </c>
      <c r="E64" s="241">
        <v>41.7</v>
      </c>
      <c r="F64" s="253">
        <v>35.92</v>
      </c>
      <c r="G64" s="253">
        <f t="shared" si="9"/>
        <v>45.43</v>
      </c>
      <c r="H64" s="250">
        <f>TRUNC((E64*G64),2)</f>
        <v>1894.43</v>
      </c>
    </row>
    <row r="65" spans="1:8" s="26" customFormat="1" ht="12.75" customHeight="1">
      <c r="A65" s="263" t="s">
        <v>106</v>
      </c>
      <c r="B65" s="262"/>
      <c r="C65" s="262"/>
      <c r="D65" s="262"/>
      <c r="E65" s="262"/>
      <c r="F65" s="25"/>
      <c r="G65" s="92"/>
      <c r="H65" s="90">
        <f>SUM(H60:H64)</f>
        <v>13004.09</v>
      </c>
    </row>
    <row r="66" spans="1:8" s="26" customFormat="1" ht="9" customHeight="1" thickBot="1">
      <c r="A66" s="2"/>
      <c r="B66" s="2"/>
      <c r="C66" s="1"/>
      <c r="D66" s="2"/>
      <c r="E66" s="55"/>
      <c r="F66" s="65"/>
      <c r="G66" s="92"/>
      <c r="H66" s="62"/>
    </row>
    <row r="67" spans="1:8" s="26" customFormat="1" ht="13.5" thickBot="1">
      <c r="A67" s="44" t="s">
        <v>9</v>
      </c>
      <c r="B67" s="44"/>
      <c r="C67" s="78" t="s">
        <v>23</v>
      </c>
      <c r="D67" s="79"/>
      <c r="E67" s="79"/>
      <c r="F67" s="79"/>
      <c r="G67" s="79"/>
      <c r="H67" s="80"/>
    </row>
    <row r="68" spans="1:8" s="26" customFormat="1">
      <c r="A68" s="69" t="s">
        <v>182</v>
      </c>
      <c r="B68" s="19">
        <v>9537</v>
      </c>
      <c r="C68" s="100" t="s">
        <v>126</v>
      </c>
      <c r="D68" s="33" t="s">
        <v>4</v>
      </c>
      <c r="E68" s="81">
        <v>219.9</v>
      </c>
      <c r="F68" s="94">
        <v>2.06</v>
      </c>
      <c r="G68" s="92">
        <f>TRUNC(F68*1.26501,2)</f>
        <v>2.6</v>
      </c>
      <c r="H68" s="91">
        <f>TRUNC((E68*G68),2)</f>
        <v>571.74</v>
      </c>
    </row>
    <row r="69" spans="1:8" s="26" customFormat="1" ht="12.75" customHeight="1">
      <c r="A69" s="261"/>
      <c r="B69" s="262"/>
      <c r="C69" s="262"/>
      <c r="D69" s="262"/>
      <c r="E69" s="262"/>
      <c r="F69" s="25"/>
      <c r="G69" s="25"/>
      <c r="H69" s="90">
        <f>H68</f>
        <v>571.74</v>
      </c>
    </row>
    <row r="70" spans="1:8" s="26" customFormat="1">
      <c r="A70" s="74"/>
      <c r="B70" s="74"/>
      <c r="C70" s="74"/>
      <c r="D70" s="74"/>
      <c r="E70" s="56"/>
      <c r="F70" s="39"/>
      <c r="G70" s="39"/>
      <c r="H70" s="85"/>
    </row>
    <row r="71" spans="1:8" s="26" customFormat="1">
      <c r="A71" s="32"/>
      <c r="B71" s="43"/>
      <c r="C71" s="234" t="s">
        <v>27</v>
      </c>
      <c r="D71" s="43"/>
      <c r="E71" s="57"/>
      <c r="F71" s="41"/>
      <c r="G71" s="41"/>
      <c r="H71" s="235">
        <f>SUM(H69,H65,H57,H44,H34,H25,H19)</f>
        <v>69373.58</v>
      </c>
    </row>
    <row r="72" spans="1:8" s="26" customFormat="1">
      <c r="A72" s="32"/>
      <c r="B72" s="43"/>
      <c r="C72" s="42"/>
      <c r="D72" s="43"/>
      <c r="E72" s="57"/>
      <c r="F72" s="41"/>
      <c r="G72" s="41"/>
      <c r="H72" s="49"/>
    </row>
    <row r="73" spans="1:8" s="26" customFormat="1">
      <c r="A73" s="32"/>
      <c r="B73" s="25"/>
      <c r="C73" s="29" t="s">
        <v>28</v>
      </c>
      <c r="D73" s="25"/>
      <c r="E73" s="56"/>
      <c r="F73" s="24"/>
      <c r="G73" s="24"/>
      <c r="H73" s="50">
        <f>H71</f>
        <v>69373.58</v>
      </c>
    </row>
    <row r="74" spans="1:8" s="26" customFormat="1">
      <c r="A74" s="258"/>
      <c r="B74" s="259"/>
      <c r="C74" s="259"/>
      <c r="D74" s="259"/>
      <c r="E74" s="53"/>
      <c r="F74" s="27"/>
      <c r="G74" s="27"/>
      <c r="H74" s="260"/>
    </row>
    <row r="75" spans="1:8" s="26" customFormat="1">
      <c r="A75" s="258"/>
      <c r="B75" s="259"/>
      <c r="C75" s="259"/>
      <c r="D75" s="259"/>
      <c r="E75" s="53"/>
      <c r="F75" s="27"/>
      <c r="G75" s="27"/>
      <c r="H75" s="260"/>
    </row>
    <row r="77" spans="1:8" ht="15.75">
      <c r="C77" s="239"/>
      <c r="F77" s="68"/>
      <c r="G77" s="68"/>
    </row>
    <row r="78" spans="1:8" ht="14.25">
      <c r="C78" s="240"/>
    </row>
    <row r="79" spans="1:8">
      <c r="C79" s="197"/>
    </row>
    <row r="81" spans="3:11" ht="11.25" customHeight="1">
      <c r="K81" s="106"/>
    </row>
    <row r="82" spans="3:11" ht="10.5" customHeight="1">
      <c r="C82" s="3"/>
    </row>
  </sheetData>
  <mergeCells count="13">
    <mergeCell ref="A19:E19"/>
    <mergeCell ref="F8:H8"/>
    <mergeCell ref="A1:H1"/>
    <mergeCell ref="F5:H5"/>
    <mergeCell ref="F3:H3"/>
    <mergeCell ref="A6:B6"/>
    <mergeCell ref="D6:H6"/>
    <mergeCell ref="A57:E57"/>
    <mergeCell ref="A65:E65"/>
    <mergeCell ref="A69:E69"/>
    <mergeCell ref="A25:E25"/>
    <mergeCell ref="A34:E34"/>
    <mergeCell ref="A44:E44"/>
  </mergeCells>
  <phoneticPr fontId="3" type="noConversion"/>
  <conditionalFormatting sqref="F57:F58 E58 E9:G9 E46:F46">
    <cfRule type="cellIs" dxfId="0" priority="10" stopIfTrue="1" operator="equal">
      <formula>0</formula>
    </cfRule>
  </conditionalFormatting>
  <printOptions horizontalCentered="1"/>
  <pageMargins left="0.19685039370078741" right="0.19685039370078741" top="0.47244094488188981" bottom="0.35433070866141736" header="0.31496062992125984" footer="0.27559055118110237"/>
  <pageSetup paperSize="9" scale="75" fitToHeight="10" orientation="portrait" horizontalDpi="4294967295" verticalDpi="4294967295" r:id="rId1"/>
  <headerFooter alignWithMargins="0"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21"/>
  <sheetViews>
    <sheetView view="pageBreakPreview" zoomScaleSheetLayoutView="100" workbookViewId="0">
      <selection activeCell="A16" sqref="A16"/>
    </sheetView>
  </sheetViews>
  <sheetFormatPr defaultRowHeight="12.75"/>
  <cols>
    <col min="1" max="1" width="11.28515625" customWidth="1"/>
    <col min="2" max="2" width="32.7109375" customWidth="1"/>
    <col min="3" max="3" width="9.7109375" customWidth="1"/>
    <col min="4" max="4" width="11.140625" customWidth="1"/>
    <col min="5" max="5" width="10.7109375" customWidth="1"/>
    <col min="6" max="6" width="11.85546875" customWidth="1"/>
    <col min="7" max="7" width="11.42578125" customWidth="1"/>
    <col min="8" max="8" width="11.85546875" customWidth="1"/>
    <col min="9" max="9" width="12.5703125" customWidth="1"/>
  </cols>
  <sheetData>
    <row r="1" spans="1:9" ht="20.25" customHeight="1">
      <c r="A1" s="115"/>
      <c r="B1" s="281" t="s">
        <v>33</v>
      </c>
      <c r="C1" s="281"/>
      <c r="D1" s="281"/>
      <c r="E1" s="281"/>
      <c r="F1" s="281"/>
      <c r="G1" s="281"/>
      <c r="H1" s="281"/>
      <c r="I1" s="282"/>
    </row>
    <row r="2" spans="1:9">
      <c r="A2" s="283" t="s">
        <v>152</v>
      </c>
      <c r="B2" s="284"/>
      <c r="C2" s="284"/>
      <c r="D2" s="284"/>
      <c r="E2" s="284"/>
      <c r="F2" s="284"/>
      <c r="G2" s="284"/>
      <c r="H2" s="284"/>
      <c r="I2" s="285"/>
    </row>
    <row r="3" spans="1:9" ht="34.5" customHeight="1">
      <c r="A3" s="116"/>
      <c r="B3" s="284" t="s">
        <v>151</v>
      </c>
      <c r="C3" s="284"/>
      <c r="D3" s="284"/>
      <c r="E3" s="284"/>
      <c r="F3" s="284"/>
      <c r="G3" s="284"/>
      <c r="H3" s="284"/>
      <c r="I3" s="285"/>
    </row>
    <row r="4" spans="1:9" ht="29.25" customHeight="1">
      <c r="A4" s="286" t="s">
        <v>150</v>
      </c>
      <c r="B4" s="286"/>
      <c r="C4" s="286"/>
      <c r="D4" s="286"/>
      <c r="E4" s="286"/>
      <c r="F4" s="286"/>
      <c r="G4" s="286"/>
      <c r="H4" s="286"/>
      <c r="I4" s="286"/>
    </row>
    <row r="5" spans="1:9">
      <c r="A5" s="206" t="s">
        <v>34</v>
      </c>
      <c r="B5" s="206" t="s">
        <v>35</v>
      </c>
      <c r="C5" s="206" t="s">
        <v>36</v>
      </c>
      <c r="D5" s="206" t="s">
        <v>37</v>
      </c>
      <c r="E5" s="206" t="s">
        <v>38</v>
      </c>
      <c r="F5" s="206" t="s">
        <v>39</v>
      </c>
      <c r="G5" s="206" t="s">
        <v>40</v>
      </c>
      <c r="H5" s="206" t="s">
        <v>41</v>
      </c>
      <c r="I5" s="206" t="s">
        <v>42</v>
      </c>
    </row>
    <row r="6" spans="1:9" ht="0.75" customHeight="1">
      <c r="A6" s="217" t="s">
        <v>1</v>
      </c>
      <c r="B6" s="218"/>
      <c r="C6" s="242" t="e">
        <f>D6/D19</f>
        <v>#DIV/0!</v>
      </c>
      <c r="D6" s="219"/>
      <c r="E6" s="219"/>
      <c r="F6" s="219"/>
      <c r="G6" s="219"/>
      <c r="H6" s="219"/>
      <c r="I6" s="243">
        <f>SUM(E6:H6)</f>
        <v>0</v>
      </c>
    </row>
    <row r="7" spans="1:9">
      <c r="A7" s="210" t="s">
        <v>1</v>
      </c>
      <c r="B7" s="207" t="s">
        <v>63</v>
      </c>
      <c r="C7" s="208">
        <f>D7/D18</f>
        <v>0.10280383396676372</v>
      </c>
      <c r="D7" s="113">
        <f>PLANILHA!H19</f>
        <v>7131.8700000000008</v>
      </c>
      <c r="E7" s="113"/>
      <c r="F7" s="113">
        <f>D7/3</f>
        <v>2377.2900000000004</v>
      </c>
      <c r="G7" s="113">
        <f>D7/3</f>
        <v>2377.2900000000004</v>
      </c>
      <c r="H7" s="113">
        <f>D7/3</f>
        <v>2377.2900000000004</v>
      </c>
      <c r="I7" s="209">
        <f>SUM(E7:H7)</f>
        <v>7131.8700000000008</v>
      </c>
    </row>
    <row r="8" spans="1:9">
      <c r="A8" s="210" t="s">
        <v>2</v>
      </c>
      <c r="B8" s="207" t="s">
        <v>65</v>
      </c>
      <c r="C8" s="208">
        <f>D8/D18</f>
        <v>2.4648576590684812E-2</v>
      </c>
      <c r="D8" s="113">
        <f>PLANILHA!H25</f>
        <v>1709.96</v>
      </c>
      <c r="E8" s="113">
        <f>D8/3</f>
        <v>569.98666666666668</v>
      </c>
      <c r="F8" s="113">
        <f>D8/3</f>
        <v>569.98666666666668</v>
      </c>
      <c r="G8" s="113">
        <f>D8/3</f>
        <v>569.98666666666668</v>
      </c>
      <c r="H8" s="113"/>
      <c r="I8" s="209">
        <f>SUM(E8:H8)</f>
        <v>1709.96</v>
      </c>
    </row>
    <row r="9" spans="1:9">
      <c r="A9" s="210" t="s">
        <v>3</v>
      </c>
      <c r="B9" s="207" t="s">
        <v>66</v>
      </c>
      <c r="C9" s="208">
        <f>D9/D18</f>
        <v>0.26110487594845183</v>
      </c>
      <c r="D9" s="113">
        <f>PLANILHA!H34</f>
        <v>18113.78</v>
      </c>
      <c r="E9" s="113">
        <f>D9/4</f>
        <v>4528.4449999999997</v>
      </c>
      <c r="F9" s="113">
        <f>D9/4</f>
        <v>4528.4449999999997</v>
      </c>
      <c r="G9" s="113">
        <f>D9/4</f>
        <v>4528.4449999999997</v>
      </c>
      <c r="H9" s="113">
        <f>D9/4</f>
        <v>4528.4449999999997</v>
      </c>
      <c r="I9" s="209">
        <f>SUM(E9:H9)</f>
        <v>18113.78</v>
      </c>
    </row>
    <row r="10" spans="1:9">
      <c r="A10" s="210" t="s">
        <v>5</v>
      </c>
      <c r="B10" s="207" t="s">
        <v>67</v>
      </c>
      <c r="C10" s="208">
        <f>D10/D18</f>
        <v>0.2691644283025324</v>
      </c>
      <c r="D10" s="113">
        <f>PLANILHA!H44</f>
        <v>18672.899999999998</v>
      </c>
      <c r="E10" s="113">
        <f>D10/4</f>
        <v>4668.2249999999995</v>
      </c>
      <c r="F10" s="113">
        <f>D10/4</f>
        <v>4668.2249999999995</v>
      </c>
      <c r="G10" s="113">
        <f>D10/4</f>
        <v>4668.2249999999995</v>
      </c>
      <c r="H10" s="113">
        <f>D10/4</f>
        <v>4668.2249999999995</v>
      </c>
      <c r="I10" s="209">
        <f>SUM(E10:H10)</f>
        <v>18672.899999999998</v>
      </c>
    </row>
    <row r="11" spans="1:9" ht="12.75" hidden="1" customHeight="1" thickBot="1">
      <c r="A11" s="210"/>
      <c r="B11" s="211"/>
      <c r="C11" s="208"/>
      <c r="D11" s="113"/>
      <c r="E11" s="113"/>
      <c r="F11" s="113">
        <f>'[1]CRONO-GERAL'!H22</f>
        <v>0</v>
      </c>
      <c r="G11" s="113"/>
      <c r="H11" s="113"/>
      <c r="I11" s="209"/>
    </row>
    <row r="12" spans="1:9" hidden="1">
      <c r="A12" s="210"/>
      <c r="B12" s="211"/>
      <c r="C12" s="208"/>
      <c r="D12" s="113"/>
      <c r="E12" s="113"/>
      <c r="F12" s="113"/>
      <c r="G12" s="113"/>
      <c r="H12" s="113"/>
      <c r="I12" s="209"/>
    </row>
    <row r="13" spans="1:9">
      <c r="A13" s="210" t="s">
        <v>6</v>
      </c>
      <c r="B13" s="211" t="s">
        <v>73</v>
      </c>
      <c r="C13" s="208">
        <f>D13/D18</f>
        <v>0.14658664004365926</v>
      </c>
      <c r="D13" s="113">
        <f>PLANILHA!H57</f>
        <v>10169.24</v>
      </c>
      <c r="E13" s="113"/>
      <c r="F13" s="113">
        <f>D13/2</f>
        <v>5084.62</v>
      </c>
      <c r="G13" s="113">
        <f>D13/2</f>
        <v>5084.62</v>
      </c>
      <c r="H13" s="113"/>
      <c r="I13" s="209">
        <f>SUM(E13:H13)</f>
        <v>10169.24</v>
      </c>
    </row>
    <row r="14" spans="1:9">
      <c r="A14" s="210" t="s">
        <v>7</v>
      </c>
      <c r="B14" s="211" t="s">
        <v>74</v>
      </c>
      <c r="C14" s="208">
        <f>D14/D18</f>
        <v>0.18745017916042389</v>
      </c>
      <c r="D14" s="113">
        <f>PLANILHA!H65</f>
        <v>13004.09</v>
      </c>
      <c r="E14" s="113">
        <f>D14/4</f>
        <v>3251.0225</v>
      </c>
      <c r="F14" s="113">
        <f>D14/4</f>
        <v>3251.0225</v>
      </c>
      <c r="G14" s="113">
        <f>D14/4</f>
        <v>3251.0225</v>
      </c>
      <c r="H14" s="113">
        <f>D14*0.25</f>
        <v>3251.0225</v>
      </c>
      <c r="I14" s="209">
        <f>SUM(E14:H14)</f>
        <v>13004.09</v>
      </c>
    </row>
    <row r="15" spans="1:9">
      <c r="A15" s="210" t="s">
        <v>9</v>
      </c>
      <c r="B15" s="211" t="s">
        <v>75</v>
      </c>
      <c r="C15" s="208">
        <f>D15/D18</f>
        <v>8.2414659874839955E-3</v>
      </c>
      <c r="D15" s="113">
        <f>PLANILHA!H69</f>
        <v>571.74</v>
      </c>
      <c r="E15" s="113"/>
      <c r="F15" s="113"/>
      <c r="G15" s="113"/>
      <c r="H15" s="113">
        <f>D15</f>
        <v>571.74</v>
      </c>
      <c r="I15" s="209">
        <f>SUM(E15:H15)</f>
        <v>571.74</v>
      </c>
    </row>
    <row r="16" spans="1:9">
      <c r="A16" s="222"/>
      <c r="B16" s="223" t="s">
        <v>47</v>
      </c>
      <c r="C16" s="212">
        <f>SUM(C7:C15)</f>
        <v>0.99999999999999989</v>
      </c>
      <c r="D16" s="213">
        <f>(D18/I19)</f>
        <v>1</v>
      </c>
      <c r="E16" s="213">
        <f>(E18/I19)</f>
        <v>0.18764606304974696</v>
      </c>
      <c r="F16" s="213">
        <f>(F18/I19)</f>
        <v>0.29520732772716451</v>
      </c>
      <c r="G16" s="213">
        <f>(G18/I19)</f>
        <v>0.29520732772716451</v>
      </c>
      <c r="H16" s="213">
        <f>(H18/I19)</f>
        <v>0.22193928149592393</v>
      </c>
      <c r="I16" s="214">
        <f>SUM(E16:H16)</f>
        <v>0.99999999999999989</v>
      </c>
    </row>
    <row r="17" spans="1:9">
      <c r="A17" s="220"/>
      <c r="B17" s="221" t="s">
        <v>48</v>
      </c>
      <c r="C17" s="215"/>
      <c r="D17" s="213">
        <f>D16</f>
        <v>1</v>
      </c>
      <c r="E17" s="213">
        <f>E16</f>
        <v>0.18764606304974696</v>
      </c>
      <c r="F17" s="213">
        <f>F16+E17</f>
        <v>0.48285339077691147</v>
      </c>
      <c r="G17" s="213">
        <f>G16+F17</f>
        <v>0.77806071850407599</v>
      </c>
      <c r="H17" s="213">
        <f>H16+G17</f>
        <v>0.99999999999999989</v>
      </c>
      <c r="I17" s="214">
        <v>1</v>
      </c>
    </row>
    <row r="18" spans="1:9">
      <c r="A18" s="280" t="s">
        <v>49</v>
      </c>
      <c r="B18" s="280"/>
      <c r="C18" s="280"/>
      <c r="D18" s="216">
        <f>SUM(D6:D15)</f>
        <v>69373.58</v>
      </c>
      <c r="E18" s="216">
        <f>SUM(E6:E15)</f>
        <v>13017.679166666665</v>
      </c>
      <c r="F18" s="216">
        <f>SUM(F6:F15)</f>
        <v>20479.589166666665</v>
      </c>
      <c r="G18" s="216">
        <f>SUM(G6:G15)</f>
        <v>20479.589166666665</v>
      </c>
      <c r="H18" s="216">
        <f>SUM(H6:H15)</f>
        <v>15396.722499999998</v>
      </c>
      <c r="I18" s="216">
        <f>I19</f>
        <v>69373.58</v>
      </c>
    </row>
    <row r="19" spans="1:9">
      <c r="A19" s="280" t="s">
        <v>50</v>
      </c>
      <c r="B19" s="280"/>
      <c r="C19" s="280"/>
      <c r="D19" s="280"/>
      <c r="E19" s="216">
        <f>E18</f>
        <v>13017.679166666665</v>
      </c>
      <c r="F19" s="216">
        <f>F18+E19</f>
        <v>33497.268333333326</v>
      </c>
      <c r="G19" s="216">
        <f>G18+F19</f>
        <v>53976.857499999991</v>
      </c>
      <c r="H19" s="216">
        <f>H18+G19</f>
        <v>69373.579999999987</v>
      </c>
      <c r="I19" s="216">
        <f>SUM(I6:I15)</f>
        <v>69373.58</v>
      </c>
    </row>
    <row r="20" spans="1:9" ht="15.75">
      <c r="A20" s="117"/>
      <c r="B20" s="114"/>
      <c r="C20" s="114"/>
      <c r="D20" s="114"/>
      <c r="E20" s="114"/>
      <c r="F20" s="114"/>
      <c r="G20" s="114"/>
      <c r="H20" s="114"/>
      <c r="I20" s="118"/>
    </row>
    <row r="21" spans="1:9" ht="13.5" thickBot="1">
      <c r="A21" s="119"/>
      <c r="B21" s="120"/>
      <c r="C21" s="120"/>
      <c r="D21" s="120"/>
      <c r="E21" s="120"/>
      <c r="F21" s="120"/>
      <c r="G21" s="120"/>
      <c r="H21" s="120"/>
      <c r="I21" s="121"/>
    </row>
  </sheetData>
  <mergeCells count="6">
    <mergeCell ref="A19:D19"/>
    <mergeCell ref="B1:I1"/>
    <mergeCell ref="A2:I2"/>
    <mergeCell ref="B3:I3"/>
    <mergeCell ref="A4:I4"/>
    <mergeCell ref="A18:C18"/>
  </mergeCells>
  <pageMargins left="0.511811024" right="0.511811024" top="0.78740157499999996" bottom="0.78740157499999996" header="0.31496062000000002" footer="0.31496062000000002"/>
  <pageSetup paperSize="9" scale="9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C19"/>
  <sheetViews>
    <sheetView tabSelected="1" workbookViewId="0">
      <selection activeCell="A17" sqref="A17"/>
    </sheetView>
  </sheetViews>
  <sheetFormatPr defaultRowHeight="12.75"/>
  <cols>
    <col min="1" max="1" width="9.140625" customWidth="1"/>
    <col min="2" max="2" width="62.140625" customWidth="1"/>
    <col min="3" max="3" width="22" customWidth="1"/>
  </cols>
  <sheetData>
    <row r="1" spans="1:3">
      <c r="A1" s="176"/>
    </row>
    <row r="2" spans="1:3">
      <c r="A2" s="176" t="str">
        <f>PLANILHA!A1</f>
        <v>PREFEITURA MUNICIPAL DE IGUATEMI-MS</v>
      </c>
    </row>
    <row r="3" spans="1:3">
      <c r="A3" s="177" t="str">
        <f>PLANILHA!A3</f>
        <v>Obra: Reforma Asilo São José</v>
      </c>
      <c r="B3" s="178"/>
      <c r="C3" s="178"/>
    </row>
    <row r="4" spans="1:3">
      <c r="A4" s="176" t="str">
        <f>PLANILHA!A4</f>
        <v>Município: IGUATEMI-MS</v>
      </c>
    </row>
    <row r="5" spans="1:3">
      <c r="A5" s="176"/>
    </row>
    <row r="6" spans="1:3" ht="24.75" customHeight="1" thickBot="1">
      <c r="A6" s="176"/>
    </row>
    <row r="7" spans="1:3" ht="15.75" thickBot="1">
      <c r="A7" s="287" t="s">
        <v>95</v>
      </c>
      <c r="B7" s="287"/>
      <c r="C7" s="287"/>
    </row>
    <row r="8" spans="1:3" ht="13.5" thickBot="1">
      <c r="A8" s="189"/>
      <c r="B8" s="190"/>
      <c r="C8" s="191"/>
    </row>
    <row r="9" spans="1:3" ht="15.75" thickBot="1">
      <c r="A9" s="179" t="s">
        <v>34</v>
      </c>
      <c r="B9" s="180" t="s">
        <v>96</v>
      </c>
      <c r="C9" s="181" t="s">
        <v>89</v>
      </c>
    </row>
    <row r="10" spans="1:3" ht="15.75" thickBot="1">
      <c r="A10" s="182" t="s">
        <v>1</v>
      </c>
      <c r="B10" s="123" t="s">
        <v>63</v>
      </c>
      <c r="C10" s="112">
        <f>'CRONOG FISICO'!D7</f>
        <v>7131.8700000000008</v>
      </c>
    </row>
    <row r="11" spans="1:3" ht="15.75" thickBot="1">
      <c r="A11" s="182" t="s">
        <v>2</v>
      </c>
      <c r="B11" s="123" t="s">
        <v>65</v>
      </c>
      <c r="C11" s="112">
        <f>'CRONOG FISICO'!D8</f>
        <v>1709.96</v>
      </c>
    </row>
    <row r="12" spans="1:3" ht="15.75" thickBot="1">
      <c r="A12" s="182" t="s">
        <v>3</v>
      </c>
      <c r="B12" s="123" t="s">
        <v>66</v>
      </c>
      <c r="C12" s="112">
        <f>'CRONOG FISICO'!D9</f>
        <v>18113.78</v>
      </c>
    </row>
    <row r="13" spans="1:3" ht="15.75" thickBot="1">
      <c r="A13" s="182" t="s">
        <v>5</v>
      </c>
      <c r="B13" s="123" t="s">
        <v>67</v>
      </c>
      <c r="C13" s="112">
        <f>'CRONOG FISICO'!D10</f>
        <v>18672.899999999998</v>
      </c>
    </row>
    <row r="14" spans="1:3" ht="15.75" thickBot="1">
      <c r="A14" s="182" t="s">
        <v>6</v>
      </c>
      <c r="B14" s="172" t="s">
        <v>73</v>
      </c>
      <c r="C14" s="112">
        <f>'CRONOG FISICO'!D13</f>
        <v>10169.24</v>
      </c>
    </row>
    <row r="15" spans="1:3" ht="15.75" thickBot="1">
      <c r="A15" s="182" t="s">
        <v>7</v>
      </c>
      <c r="B15" s="172" t="s">
        <v>74</v>
      </c>
      <c r="C15" s="112">
        <f>'CRONOG FISICO'!D14</f>
        <v>13004.09</v>
      </c>
    </row>
    <row r="16" spans="1:3">
      <c r="A16" s="184" t="s">
        <v>9</v>
      </c>
      <c r="B16" s="172" t="s">
        <v>75</v>
      </c>
      <c r="C16" s="112">
        <f>'CRONOG FISICO'!D15</f>
        <v>571.74</v>
      </c>
    </row>
    <row r="17" spans="1:3" ht="15.75" thickBot="1">
      <c r="A17" s="184"/>
      <c r="B17" s="183"/>
      <c r="C17" s="185"/>
    </row>
    <row r="18" spans="1:3" ht="16.5" thickBot="1">
      <c r="A18" s="186"/>
      <c r="B18" s="187" t="s">
        <v>97</v>
      </c>
      <c r="C18" s="188">
        <f>SUM(C10:C17)</f>
        <v>69373.58</v>
      </c>
    </row>
    <row r="19" spans="1:3">
      <c r="A19" s="176"/>
    </row>
  </sheetData>
  <mergeCells count="1">
    <mergeCell ref="A7:C7"/>
  </mergeCells>
  <pageMargins left="0.511811024" right="0.511811024" top="0.78740157499999996" bottom="0.78740157499999996" header="0.31496062000000002" footer="0.31496062000000002"/>
  <pageSetup paperSize="9"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V40"/>
  <sheetViews>
    <sheetView view="pageBreakPreview" topLeftCell="A7" zoomScaleSheetLayoutView="100" workbookViewId="0">
      <selection activeCell="V30" sqref="V30"/>
    </sheetView>
  </sheetViews>
  <sheetFormatPr defaultRowHeight="12.75"/>
  <cols>
    <col min="2" max="2" width="33.85546875" customWidth="1"/>
    <col min="3" max="3" width="10.85546875" customWidth="1"/>
    <col min="4" max="7" width="9.28515625" bestFit="1" customWidth="1"/>
    <col min="8" max="8" width="9.85546875" bestFit="1" customWidth="1"/>
    <col min="9" max="10" width="9.28515625" bestFit="1" customWidth="1"/>
    <col min="11" max="11" width="9.85546875" customWidth="1"/>
    <col min="12" max="13" width="9.28515625" bestFit="1" customWidth="1"/>
    <col min="14" max="14" width="10.85546875" customWidth="1"/>
    <col min="15" max="16" width="9.28515625" bestFit="1" customWidth="1"/>
    <col min="17" max="17" width="9.85546875" bestFit="1" customWidth="1"/>
    <col min="18" max="19" width="9.28515625" bestFit="1" customWidth="1"/>
    <col min="20" max="20" width="9.85546875" bestFit="1" customWidth="1"/>
    <col min="22" max="22" width="9.28515625" bestFit="1" customWidth="1"/>
  </cols>
  <sheetData>
    <row r="1" spans="1:22" ht="16.5">
      <c r="A1" s="124" t="s">
        <v>33</v>
      </c>
      <c r="B1" s="125"/>
      <c r="C1" s="126"/>
      <c r="D1" s="127"/>
      <c r="E1" s="127"/>
      <c r="F1" s="127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8"/>
      <c r="U1" s="128"/>
      <c r="V1" s="128"/>
    </row>
    <row r="2" spans="1:22" ht="16.5">
      <c r="A2" s="124" t="s">
        <v>76</v>
      </c>
      <c r="B2" s="125"/>
      <c r="C2" s="127"/>
      <c r="D2" s="127"/>
      <c r="E2" s="127"/>
      <c r="F2" s="127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8"/>
      <c r="U2" s="128"/>
      <c r="V2" s="128"/>
    </row>
    <row r="3" spans="1:22" ht="16.5">
      <c r="A3" s="124" t="s">
        <v>99</v>
      </c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8"/>
      <c r="U3" s="128"/>
      <c r="V3" s="128"/>
    </row>
    <row r="4" spans="1:22" ht="16.5">
      <c r="A4" s="124" t="s">
        <v>77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8"/>
      <c r="U4" s="128"/>
      <c r="V4" s="128"/>
    </row>
    <row r="5" spans="1:22" ht="15.75">
      <c r="A5" s="288" t="s">
        <v>78</v>
      </c>
      <c r="B5" s="288"/>
      <c r="C5" s="288"/>
      <c r="D5" s="288"/>
      <c r="E5" s="288"/>
      <c r="F5" s="288"/>
      <c r="G5" s="288"/>
      <c r="H5" s="288"/>
      <c r="I5" s="288"/>
      <c r="J5" s="288"/>
      <c r="K5" s="288"/>
      <c r="L5" s="288"/>
      <c r="M5" s="288"/>
      <c r="N5" s="288"/>
      <c r="O5" s="288"/>
      <c r="P5" s="288"/>
      <c r="Q5" s="288"/>
      <c r="R5" s="288"/>
      <c r="S5" s="288"/>
      <c r="T5" s="288"/>
      <c r="U5" s="288"/>
      <c r="V5" s="288"/>
    </row>
    <row r="6" spans="1:22">
      <c r="A6" s="128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8"/>
      <c r="U6" s="128"/>
      <c r="V6" s="128"/>
    </row>
    <row r="7" spans="1:22">
      <c r="A7" s="289" t="s">
        <v>34</v>
      </c>
      <c r="B7" s="290" t="s">
        <v>79</v>
      </c>
      <c r="C7" s="290" t="s">
        <v>80</v>
      </c>
      <c r="D7" s="289" t="s">
        <v>81</v>
      </c>
      <c r="E7" s="291" t="s">
        <v>82</v>
      </c>
      <c r="F7" s="291"/>
      <c r="G7" s="291"/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</row>
    <row r="8" spans="1:22">
      <c r="A8" s="289"/>
      <c r="B8" s="290"/>
      <c r="C8" s="290"/>
      <c r="D8" s="289"/>
      <c r="E8" s="291" t="s">
        <v>83</v>
      </c>
      <c r="F8" s="291"/>
      <c r="G8" s="291"/>
      <c r="H8" s="291" t="s">
        <v>84</v>
      </c>
      <c r="I8" s="291"/>
      <c r="J8" s="291"/>
      <c r="K8" s="291" t="s">
        <v>85</v>
      </c>
      <c r="L8" s="291"/>
      <c r="M8" s="291"/>
      <c r="N8" s="291" t="s">
        <v>86</v>
      </c>
      <c r="O8" s="291"/>
      <c r="P8" s="291"/>
      <c r="Q8" s="291" t="s">
        <v>87</v>
      </c>
      <c r="R8" s="291"/>
      <c r="S8" s="291"/>
      <c r="T8" s="291" t="s">
        <v>88</v>
      </c>
      <c r="U8" s="291"/>
      <c r="V8" s="291"/>
    </row>
    <row r="9" spans="1:22" ht="23.25" thickBot="1">
      <c r="A9" s="289"/>
      <c r="B9" s="290"/>
      <c r="C9" s="290"/>
      <c r="D9" s="289"/>
      <c r="E9" s="142" t="s">
        <v>89</v>
      </c>
      <c r="F9" s="143" t="s">
        <v>90</v>
      </c>
      <c r="G9" s="143" t="s">
        <v>91</v>
      </c>
      <c r="H9" s="142" t="s">
        <v>89</v>
      </c>
      <c r="I9" s="143" t="s">
        <v>90</v>
      </c>
      <c r="J9" s="143" t="s">
        <v>91</v>
      </c>
      <c r="K9" s="142" t="s">
        <v>89</v>
      </c>
      <c r="L9" s="143" t="s">
        <v>90</v>
      </c>
      <c r="M9" s="143" t="s">
        <v>91</v>
      </c>
      <c r="N9" s="142" t="s">
        <v>89</v>
      </c>
      <c r="O9" s="143" t="s">
        <v>90</v>
      </c>
      <c r="P9" s="143" t="s">
        <v>91</v>
      </c>
      <c r="Q9" s="142" t="s">
        <v>89</v>
      </c>
      <c r="R9" s="143" t="s">
        <v>90</v>
      </c>
      <c r="S9" s="143" t="s">
        <v>91</v>
      </c>
      <c r="T9" s="142" t="s">
        <v>89</v>
      </c>
      <c r="U9" s="143" t="s">
        <v>90</v>
      </c>
      <c r="V9" s="143" t="s">
        <v>91</v>
      </c>
    </row>
    <row r="10" spans="1:22">
      <c r="A10" s="199" t="s">
        <v>43</v>
      </c>
      <c r="B10" s="122" t="s">
        <v>51</v>
      </c>
      <c r="C10" s="144" t="e">
        <f>PLANILHA!#REF!</f>
        <v>#REF!</v>
      </c>
      <c r="D10" s="145" t="e">
        <f>C10/$C$30</f>
        <v>#REF!</v>
      </c>
      <c r="E10" s="146" t="e">
        <f>C10</f>
        <v>#REF!</v>
      </c>
      <c r="F10" s="147">
        <v>1</v>
      </c>
      <c r="G10" s="147">
        <f>F10</f>
        <v>1</v>
      </c>
      <c r="H10" s="146"/>
      <c r="I10" s="147"/>
      <c r="J10" s="147">
        <v>1</v>
      </c>
      <c r="K10" s="148"/>
      <c r="L10" s="147"/>
      <c r="M10" s="147"/>
      <c r="N10" s="148"/>
      <c r="O10" s="147"/>
      <c r="P10" s="147"/>
      <c r="Q10" s="146"/>
      <c r="R10" s="147"/>
      <c r="S10" s="147"/>
      <c r="T10" s="146"/>
      <c r="U10" s="147"/>
      <c r="V10" s="147"/>
    </row>
    <row r="11" spans="1:22" ht="15" customHeight="1">
      <c r="A11" s="149" t="s">
        <v>44</v>
      </c>
      <c r="B11" s="123" t="s">
        <v>61</v>
      </c>
      <c r="C11" s="144" t="e">
        <f>PLANILHA!#REF!</f>
        <v>#REF!</v>
      </c>
      <c r="D11" s="145" t="e">
        <f t="shared" ref="D11:D13" si="0">C11/$C$30</f>
        <v>#REF!</v>
      </c>
      <c r="E11" s="146" t="e">
        <f>C11</f>
        <v>#REF!</v>
      </c>
      <c r="F11" s="147">
        <v>1</v>
      </c>
      <c r="G11" s="147">
        <f t="shared" ref="G11:G16" si="1">F11</f>
        <v>1</v>
      </c>
      <c r="H11" s="146"/>
      <c r="I11" s="147"/>
      <c r="J11" s="147"/>
      <c r="K11" s="148"/>
      <c r="L11" s="147"/>
      <c r="M11" s="147"/>
      <c r="N11" s="148"/>
      <c r="O11" s="147"/>
      <c r="P11" s="147"/>
      <c r="Q11" s="146"/>
      <c r="R11" s="147"/>
      <c r="S11" s="147">
        <f t="shared" ref="S11:S26" si="2">P11+R11</f>
        <v>0</v>
      </c>
      <c r="T11" s="146"/>
      <c r="U11" s="147"/>
      <c r="V11" s="147"/>
    </row>
    <row r="12" spans="1:22" ht="15" customHeight="1">
      <c r="A12" s="149" t="s">
        <v>118</v>
      </c>
      <c r="B12" s="123" t="s">
        <v>116</v>
      </c>
      <c r="C12" s="144" t="e">
        <f>PLANILHA!#REF!</f>
        <v>#REF!</v>
      </c>
      <c r="D12" s="145" t="e">
        <f t="shared" si="0"/>
        <v>#REF!</v>
      </c>
      <c r="E12" s="146" t="e">
        <f>C12</f>
        <v>#REF!</v>
      </c>
      <c r="F12" s="147">
        <v>1</v>
      </c>
      <c r="G12" s="147">
        <v>1</v>
      </c>
      <c r="H12" s="146"/>
      <c r="I12" s="147"/>
      <c r="J12" s="147"/>
      <c r="K12" s="148"/>
      <c r="L12" s="147"/>
      <c r="M12" s="147"/>
      <c r="N12" s="148"/>
      <c r="O12" s="147"/>
      <c r="P12" s="147"/>
      <c r="Q12" s="146"/>
      <c r="R12" s="147"/>
      <c r="S12" s="147"/>
      <c r="T12" s="146"/>
      <c r="U12" s="147"/>
      <c r="V12" s="147"/>
    </row>
    <row r="13" spans="1:22" ht="11.25" customHeight="1">
      <c r="A13" s="149" t="s">
        <v>45</v>
      </c>
      <c r="B13" s="123" t="s">
        <v>117</v>
      </c>
      <c r="C13" s="144" t="e">
        <f>PLANILHA!#REF!</f>
        <v>#REF!</v>
      </c>
      <c r="D13" s="145" t="e">
        <f t="shared" si="0"/>
        <v>#REF!</v>
      </c>
      <c r="E13" s="146" t="e">
        <f>C13/4</f>
        <v>#REF!</v>
      </c>
      <c r="F13" s="147">
        <v>0.25</v>
      </c>
      <c r="G13" s="147">
        <v>0.25</v>
      </c>
      <c r="H13" s="146" t="e">
        <f>C13/4</f>
        <v>#REF!</v>
      </c>
      <c r="I13" s="147">
        <v>0.25</v>
      </c>
      <c r="J13" s="147">
        <v>0.5</v>
      </c>
      <c r="K13" s="148" t="e">
        <f>C13/2</f>
        <v>#REF!</v>
      </c>
      <c r="L13" s="147">
        <v>0.5</v>
      </c>
      <c r="M13" s="147">
        <v>1</v>
      </c>
      <c r="N13" s="148"/>
      <c r="O13" s="147"/>
      <c r="P13" s="147"/>
      <c r="Q13" s="146"/>
      <c r="R13" s="147"/>
      <c r="S13" s="147"/>
      <c r="T13" s="146"/>
      <c r="U13" s="147"/>
      <c r="V13" s="147"/>
    </row>
    <row r="14" spans="1:22">
      <c r="A14" s="149" t="s">
        <v>46</v>
      </c>
      <c r="B14" s="123" t="s">
        <v>62</v>
      </c>
      <c r="C14" s="144" t="e">
        <f>PLANILHA!#REF!</f>
        <v>#REF!</v>
      </c>
      <c r="D14" s="145" t="e">
        <f t="shared" ref="D14:D20" si="3">C14/$C$30</f>
        <v>#REF!</v>
      </c>
      <c r="E14" s="146" t="e">
        <f>C14*0.6</f>
        <v>#REF!</v>
      </c>
      <c r="F14" s="147">
        <v>0.6</v>
      </c>
      <c r="G14" s="147">
        <f t="shared" si="1"/>
        <v>0.6</v>
      </c>
      <c r="H14" s="146" t="e">
        <f>C14*0.4</f>
        <v>#REF!</v>
      </c>
      <c r="I14" s="147">
        <v>0.4</v>
      </c>
      <c r="J14" s="147">
        <v>1</v>
      </c>
      <c r="K14" s="148"/>
      <c r="L14" s="147"/>
      <c r="M14" s="147"/>
      <c r="N14" s="148"/>
      <c r="O14" s="147"/>
      <c r="P14" s="147"/>
      <c r="Q14" s="146"/>
      <c r="R14" s="147"/>
      <c r="S14" s="147"/>
      <c r="T14" s="146"/>
      <c r="U14" s="147"/>
      <c r="V14" s="147"/>
    </row>
    <row r="15" spans="1:22">
      <c r="A15" s="149" t="s">
        <v>52</v>
      </c>
      <c r="B15" s="123" t="s">
        <v>63</v>
      </c>
      <c r="C15" s="144">
        <f>PLANILHA!H18</f>
        <v>369</v>
      </c>
      <c r="D15" s="145" t="e">
        <f t="shared" si="3"/>
        <v>#REF!</v>
      </c>
      <c r="E15" s="146"/>
      <c r="F15" s="147"/>
      <c r="G15" s="147"/>
      <c r="H15" s="146"/>
      <c r="I15" s="147"/>
      <c r="J15" s="147"/>
      <c r="K15" s="148">
        <f>C15*0.2</f>
        <v>73.8</v>
      </c>
      <c r="L15" s="147">
        <v>0.2</v>
      </c>
      <c r="M15" s="147">
        <f>J15+L15</f>
        <v>0.2</v>
      </c>
      <c r="N15" s="148">
        <f>C15*0.3</f>
        <v>110.7</v>
      </c>
      <c r="O15" s="147">
        <v>0.3</v>
      </c>
      <c r="P15" s="147">
        <f>M15+O15</f>
        <v>0.5</v>
      </c>
      <c r="Q15" s="146">
        <f>C15*0.4</f>
        <v>147.6</v>
      </c>
      <c r="R15" s="147">
        <v>0.4</v>
      </c>
      <c r="S15" s="147">
        <f t="shared" si="2"/>
        <v>0.9</v>
      </c>
      <c r="T15" s="146">
        <f>C15*0.1</f>
        <v>36.9</v>
      </c>
      <c r="U15" s="224">
        <v>0.1</v>
      </c>
      <c r="V15" s="147">
        <f>U15+S15</f>
        <v>1</v>
      </c>
    </row>
    <row r="16" spans="1:22">
      <c r="A16" s="149" t="s">
        <v>119</v>
      </c>
      <c r="B16" s="123" t="s">
        <v>64</v>
      </c>
      <c r="C16" s="144" t="e">
        <f>PLANILHA!#REF!</f>
        <v>#REF!</v>
      </c>
      <c r="D16" s="145" t="e">
        <f t="shared" si="3"/>
        <v>#REF!</v>
      </c>
      <c r="E16" s="146" t="e">
        <f>C16*0.3</f>
        <v>#REF!</v>
      </c>
      <c r="F16" s="147">
        <v>0.3</v>
      </c>
      <c r="G16" s="147">
        <f t="shared" si="1"/>
        <v>0.3</v>
      </c>
      <c r="H16" s="146" t="e">
        <f>C16*0.4</f>
        <v>#REF!</v>
      </c>
      <c r="I16" s="147">
        <v>0.4</v>
      </c>
      <c r="J16" s="147">
        <f>I16+G16</f>
        <v>0.7</v>
      </c>
      <c r="K16" s="148" t="e">
        <f>C16*0.3</f>
        <v>#REF!</v>
      </c>
      <c r="L16" s="147">
        <v>0.3</v>
      </c>
      <c r="M16" s="147">
        <f t="shared" ref="M16:M26" si="4">J16+L16</f>
        <v>1</v>
      </c>
      <c r="N16" s="148"/>
      <c r="O16" s="147"/>
      <c r="P16" s="147"/>
      <c r="Q16" s="146"/>
      <c r="R16" s="147"/>
      <c r="S16" s="147"/>
      <c r="T16" s="146"/>
      <c r="U16" s="147"/>
      <c r="V16" s="147"/>
    </row>
    <row r="17" spans="1:22">
      <c r="A17" s="149" t="s">
        <v>53</v>
      </c>
      <c r="B17" s="123" t="s">
        <v>65</v>
      </c>
      <c r="C17" s="144">
        <f>PLANILHA!H25</f>
        <v>1709.96</v>
      </c>
      <c r="D17" s="145" t="e">
        <f t="shared" si="3"/>
        <v>#REF!</v>
      </c>
      <c r="E17" s="146"/>
      <c r="F17" s="147"/>
      <c r="G17" s="147"/>
      <c r="H17" s="146">
        <f>C17*0.3</f>
        <v>512.98799999999994</v>
      </c>
      <c r="I17" s="147">
        <v>0.3</v>
      </c>
      <c r="J17" s="147">
        <f t="shared" ref="J17:J26" si="5">I17+G17</f>
        <v>0.3</v>
      </c>
      <c r="K17" s="148">
        <f>C17*0.4</f>
        <v>683.98400000000004</v>
      </c>
      <c r="L17" s="147">
        <v>0.4</v>
      </c>
      <c r="M17" s="147">
        <f t="shared" si="4"/>
        <v>0.7</v>
      </c>
      <c r="N17" s="148">
        <f>C17*0.2</f>
        <v>341.99200000000002</v>
      </c>
      <c r="O17" s="147">
        <v>0.2</v>
      </c>
      <c r="P17" s="147">
        <f t="shared" ref="P17:P26" si="6">M17+O17</f>
        <v>0.89999999999999991</v>
      </c>
      <c r="Q17" s="146">
        <f>C17*0.1</f>
        <v>170.99600000000001</v>
      </c>
      <c r="R17" s="147">
        <v>0.1</v>
      </c>
      <c r="S17" s="147">
        <f t="shared" si="2"/>
        <v>0.99999999999999989</v>
      </c>
      <c r="T17" s="146"/>
      <c r="U17" s="147"/>
      <c r="V17" s="147"/>
    </row>
    <row r="18" spans="1:22">
      <c r="A18" s="149" t="s">
        <v>54</v>
      </c>
      <c r="B18" s="123" t="s">
        <v>66</v>
      </c>
      <c r="C18" s="144">
        <f>PLANILHA!H34</f>
        <v>18113.78</v>
      </c>
      <c r="D18" s="145" t="e">
        <f t="shared" si="3"/>
        <v>#REF!</v>
      </c>
      <c r="E18" s="146"/>
      <c r="F18" s="147"/>
      <c r="G18" s="147"/>
      <c r="H18" s="146">
        <f>C18*0.2</f>
        <v>3622.7559999999999</v>
      </c>
      <c r="I18" s="147">
        <v>0.2</v>
      </c>
      <c r="J18" s="147">
        <f t="shared" si="5"/>
        <v>0.2</v>
      </c>
      <c r="K18" s="148">
        <f>C18*0.3</f>
        <v>5434.1339999999991</v>
      </c>
      <c r="L18" s="147">
        <v>0.3</v>
      </c>
      <c r="M18" s="147">
        <f t="shared" si="4"/>
        <v>0.5</v>
      </c>
      <c r="N18" s="148">
        <f>C18*0.3</f>
        <v>5434.1339999999991</v>
      </c>
      <c r="O18" s="147">
        <v>0.3</v>
      </c>
      <c r="P18" s="147">
        <f t="shared" si="6"/>
        <v>0.8</v>
      </c>
      <c r="Q18" s="146">
        <f>C18*0.2</f>
        <v>3622.7559999999999</v>
      </c>
      <c r="R18" s="147">
        <v>0.2</v>
      </c>
      <c r="S18" s="147">
        <f t="shared" si="2"/>
        <v>1</v>
      </c>
      <c r="T18" s="146"/>
      <c r="U18" s="147"/>
      <c r="V18" s="147"/>
    </row>
    <row r="19" spans="1:22">
      <c r="A19" s="149" t="s">
        <v>55</v>
      </c>
      <c r="B19" s="123" t="s">
        <v>67</v>
      </c>
      <c r="C19" s="144">
        <f>PLANILHA!H44</f>
        <v>18672.899999999998</v>
      </c>
      <c r="D19" s="145" t="e">
        <f t="shared" si="3"/>
        <v>#REF!</v>
      </c>
      <c r="E19" s="146"/>
      <c r="F19" s="147"/>
      <c r="G19" s="147"/>
      <c r="H19" s="146">
        <f>C19*0.1</f>
        <v>1867.29</v>
      </c>
      <c r="I19" s="147">
        <v>0.1</v>
      </c>
      <c r="J19" s="147">
        <f t="shared" si="5"/>
        <v>0.1</v>
      </c>
      <c r="K19" s="148">
        <f>C19*0.2</f>
        <v>3734.58</v>
      </c>
      <c r="L19" s="147">
        <v>0.2</v>
      </c>
      <c r="M19" s="147">
        <f t="shared" si="4"/>
        <v>0.30000000000000004</v>
      </c>
      <c r="N19" s="148">
        <f>C19*0.2</f>
        <v>3734.58</v>
      </c>
      <c r="O19" s="147">
        <v>0.2</v>
      </c>
      <c r="P19" s="147">
        <f t="shared" si="6"/>
        <v>0.5</v>
      </c>
      <c r="Q19" s="146">
        <f>C19*0.3</f>
        <v>5601.869999999999</v>
      </c>
      <c r="R19" s="147">
        <v>0.3</v>
      </c>
      <c r="S19" s="147">
        <f t="shared" si="2"/>
        <v>0.8</v>
      </c>
      <c r="T19" s="146">
        <f>C19*0.2</f>
        <v>3734.58</v>
      </c>
      <c r="U19" s="147">
        <v>0.2</v>
      </c>
      <c r="V19" s="147">
        <f t="shared" ref="V19:V27" si="7">U19+S19</f>
        <v>1</v>
      </c>
    </row>
    <row r="20" spans="1:22">
      <c r="A20" s="149" t="s">
        <v>56</v>
      </c>
      <c r="B20" s="123" t="s">
        <v>68</v>
      </c>
      <c r="C20" s="144" t="e">
        <f>PLANILHA!#REF!</f>
        <v>#REF!</v>
      </c>
      <c r="D20" s="145" t="e">
        <f t="shared" si="3"/>
        <v>#REF!</v>
      </c>
      <c r="E20" s="146"/>
      <c r="F20" s="147"/>
      <c r="G20" s="147"/>
      <c r="H20" s="146" t="e">
        <f>C20*0.2</f>
        <v>#REF!</v>
      </c>
      <c r="I20" s="147">
        <v>0.2</v>
      </c>
      <c r="J20" s="147">
        <f t="shared" si="5"/>
        <v>0.2</v>
      </c>
      <c r="K20" s="148" t="e">
        <f>C20*0.2</f>
        <v>#REF!</v>
      </c>
      <c r="L20" s="147">
        <v>0.2</v>
      </c>
      <c r="M20" s="147">
        <f t="shared" si="4"/>
        <v>0.4</v>
      </c>
      <c r="N20" s="148"/>
      <c r="O20" s="147"/>
      <c r="P20" s="147">
        <f t="shared" si="6"/>
        <v>0.4</v>
      </c>
      <c r="Q20" s="146"/>
      <c r="R20" s="147"/>
      <c r="S20" s="147">
        <f t="shared" si="2"/>
        <v>0.4</v>
      </c>
      <c r="T20" s="146" t="e">
        <f>C20*0.6</f>
        <v>#REF!</v>
      </c>
      <c r="U20" s="147">
        <v>0.6</v>
      </c>
      <c r="V20" s="147">
        <f t="shared" si="7"/>
        <v>1</v>
      </c>
    </row>
    <row r="21" spans="1:22" hidden="1">
      <c r="A21" s="149" t="s">
        <v>58</v>
      </c>
      <c r="B21" s="172" t="s">
        <v>69</v>
      </c>
      <c r="C21" s="144"/>
      <c r="D21" s="145"/>
      <c r="E21" s="146"/>
      <c r="F21" s="147"/>
      <c r="G21" s="147"/>
      <c r="H21" s="146"/>
      <c r="I21" s="147"/>
      <c r="J21" s="147">
        <f t="shared" si="5"/>
        <v>0</v>
      </c>
      <c r="K21" s="148"/>
      <c r="L21" s="147"/>
      <c r="M21" s="147">
        <f t="shared" si="4"/>
        <v>0</v>
      </c>
      <c r="N21" s="148"/>
      <c r="O21" s="147"/>
      <c r="P21" s="147">
        <f t="shared" si="6"/>
        <v>0</v>
      </c>
      <c r="Q21" s="146"/>
      <c r="R21" s="147"/>
      <c r="S21" s="147">
        <f t="shared" si="2"/>
        <v>0</v>
      </c>
      <c r="T21" s="146"/>
      <c r="U21" s="147"/>
      <c r="V21" s="147">
        <f t="shared" si="7"/>
        <v>0</v>
      </c>
    </row>
    <row r="22" spans="1:22">
      <c r="A22" s="149" t="s">
        <v>57</v>
      </c>
      <c r="B22" s="172" t="s">
        <v>70</v>
      </c>
      <c r="C22" s="144" t="e">
        <f>PLANILHA!#REF!</f>
        <v>#REF!</v>
      </c>
      <c r="D22" s="145" t="e">
        <f>C22/$C$30</f>
        <v>#REF!</v>
      </c>
      <c r="E22" s="146"/>
      <c r="F22" s="147"/>
      <c r="G22" s="147"/>
      <c r="H22" s="146" t="e">
        <f>C22*0.6</f>
        <v>#REF!</v>
      </c>
      <c r="I22" s="147">
        <v>0.6</v>
      </c>
      <c r="J22" s="147">
        <f t="shared" si="5"/>
        <v>0.6</v>
      </c>
      <c r="K22" s="148" t="e">
        <f>C22*0.4</f>
        <v>#REF!</v>
      </c>
      <c r="L22" s="147">
        <v>0.4</v>
      </c>
      <c r="M22" s="147">
        <f t="shared" si="4"/>
        <v>1</v>
      </c>
      <c r="N22" s="148"/>
      <c r="O22" s="147"/>
      <c r="P22" s="147"/>
      <c r="Q22" s="146"/>
      <c r="R22" s="147"/>
      <c r="S22" s="147"/>
      <c r="T22" s="146"/>
      <c r="U22" s="147"/>
      <c r="V22" s="147">
        <f t="shared" si="7"/>
        <v>0</v>
      </c>
    </row>
    <row r="23" spans="1:22" hidden="1">
      <c r="A23" s="149" t="s">
        <v>59</v>
      </c>
      <c r="B23" s="172" t="s">
        <v>71</v>
      </c>
      <c r="C23" s="144"/>
      <c r="D23" s="145"/>
      <c r="E23" s="146"/>
      <c r="F23" s="147"/>
      <c r="G23" s="147"/>
      <c r="H23" s="146"/>
      <c r="I23" s="147"/>
      <c r="J23" s="147">
        <f t="shared" si="5"/>
        <v>0</v>
      </c>
      <c r="K23" s="148"/>
      <c r="L23" s="147"/>
      <c r="M23" s="147">
        <f t="shared" si="4"/>
        <v>0</v>
      </c>
      <c r="N23" s="148"/>
      <c r="O23" s="147"/>
      <c r="P23" s="147">
        <f t="shared" si="6"/>
        <v>0</v>
      </c>
      <c r="Q23" s="146"/>
      <c r="R23" s="147"/>
      <c r="S23" s="147">
        <f t="shared" si="2"/>
        <v>0</v>
      </c>
      <c r="T23" s="146"/>
      <c r="U23" s="147"/>
      <c r="V23" s="147">
        <f t="shared" si="7"/>
        <v>0</v>
      </c>
    </row>
    <row r="24" spans="1:22">
      <c r="A24" s="149" t="s">
        <v>58</v>
      </c>
      <c r="B24" s="172" t="s">
        <v>72</v>
      </c>
      <c r="C24" s="144" t="e">
        <f>PLANILHA!#REF!</f>
        <v>#REF!</v>
      </c>
      <c r="D24" s="145" t="e">
        <f>C24/$C$30</f>
        <v>#REF!</v>
      </c>
      <c r="E24" s="146"/>
      <c r="F24" s="147"/>
      <c r="G24" s="147"/>
      <c r="H24" s="146" t="e">
        <f>C24*0.5</f>
        <v>#REF!</v>
      </c>
      <c r="I24" s="147">
        <v>0.5</v>
      </c>
      <c r="J24" s="147">
        <f t="shared" si="5"/>
        <v>0.5</v>
      </c>
      <c r="K24" s="148" t="e">
        <f>C24*0.5</f>
        <v>#REF!</v>
      </c>
      <c r="L24" s="147">
        <v>0.5</v>
      </c>
      <c r="M24" s="147">
        <f t="shared" si="4"/>
        <v>1</v>
      </c>
      <c r="N24" s="148"/>
      <c r="O24" s="147"/>
      <c r="P24" s="147"/>
      <c r="Q24" s="146"/>
      <c r="R24" s="147"/>
      <c r="S24" s="147"/>
      <c r="T24" s="146"/>
      <c r="U24" s="147"/>
      <c r="V24" s="147">
        <f t="shared" si="7"/>
        <v>0</v>
      </c>
    </row>
    <row r="25" spans="1:22">
      <c r="A25" s="149" t="s">
        <v>120</v>
      </c>
      <c r="B25" s="172" t="s">
        <v>73</v>
      </c>
      <c r="C25" s="144">
        <f>PLANILHA!H57</f>
        <v>10169.24</v>
      </c>
      <c r="D25" s="145" t="e">
        <f>C25/$C$30</f>
        <v>#REF!</v>
      </c>
      <c r="E25" s="146"/>
      <c r="F25" s="147"/>
      <c r="G25" s="147"/>
      <c r="H25" s="146"/>
      <c r="I25" s="147"/>
      <c r="J25" s="147"/>
      <c r="K25" s="148"/>
      <c r="L25" s="147"/>
      <c r="M25" s="147"/>
      <c r="N25" s="148">
        <f>C25*0.3</f>
        <v>3050.7719999999999</v>
      </c>
      <c r="O25" s="147">
        <v>0.3</v>
      </c>
      <c r="P25" s="147">
        <f t="shared" si="6"/>
        <v>0.3</v>
      </c>
      <c r="Q25" s="146">
        <f>C25*0.3</f>
        <v>3050.7719999999999</v>
      </c>
      <c r="R25" s="147">
        <v>0.3</v>
      </c>
      <c r="S25" s="147">
        <f t="shared" si="2"/>
        <v>0.6</v>
      </c>
      <c r="T25" s="146">
        <f>C25*0.4</f>
        <v>4067.6959999999999</v>
      </c>
      <c r="U25" s="147">
        <v>0.4</v>
      </c>
      <c r="V25" s="147">
        <f t="shared" si="7"/>
        <v>1</v>
      </c>
    </row>
    <row r="26" spans="1:22">
      <c r="A26" s="149" t="s">
        <v>59</v>
      </c>
      <c r="B26" s="172" t="s">
        <v>74</v>
      </c>
      <c r="C26" s="144">
        <f>PLANILHA!H65</f>
        <v>13004.09</v>
      </c>
      <c r="D26" s="145" t="e">
        <f>C26/$C$30</f>
        <v>#REF!</v>
      </c>
      <c r="E26" s="146">
        <f>C26*0.35</f>
        <v>4551.4314999999997</v>
      </c>
      <c r="F26" s="147">
        <v>0.35</v>
      </c>
      <c r="G26" s="147">
        <f>F26</f>
        <v>0.35</v>
      </c>
      <c r="H26" s="146"/>
      <c r="I26" s="147"/>
      <c r="J26" s="147">
        <f t="shared" si="5"/>
        <v>0.35</v>
      </c>
      <c r="K26" s="148"/>
      <c r="L26" s="147"/>
      <c r="M26" s="147">
        <f t="shared" si="4"/>
        <v>0.35</v>
      </c>
      <c r="N26" s="148">
        <f>C26*0.25</f>
        <v>3251.0225</v>
      </c>
      <c r="O26" s="147">
        <v>0.25</v>
      </c>
      <c r="P26" s="147">
        <f t="shared" si="6"/>
        <v>0.6</v>
      </c>
      <c r="Q26" s="146">
        <f>C26*0.2</f>
        <v>2600.8180000000002</v>
      </c>
      <c r="R26" s="147">
        <v>0.2</v>
      </c>
      <c r="S26" s="147">
        <f t="shared" si="2"/>
        <v>0.8</v>
      </c>
      <c r="T26" s="146">
        <f>C26*0.2</f>
        <v>2600.8180000000002</v>
      </c>
      <c r="U26" s="147">
        <v>0.2</v>
      </c>
      <c r="V26" s="147">
        <f t="shared" si="7"/>
        <v>1</v>
      </c>
    </row>
    <row r="27" spans="1:22">
      <c r="A27" s="149" t="s">
        <v>60</v>
      </c>
      <c r="B27" s="172" t="s">
        <v>75</v>
      </c>
      <c r="C27" s="144">
        <f>PLANILHA!H69</f>
        <v>571.74</v>
      </c>
      <c r="D27" s="145" t="e">
        <f>C27/$C$30</f>
        <v>#REF!</v>
      </c>
      <c r="E27" s="146"/>
      <c r="F27" s="147"/>
      <c r="G27" s="147"/>
      <c r="H27" s="146"/>
      <c r="I27" s="147"/>
      <c r="J27" s="147"/>
      <c r="K27" s="148"/>
      <c r="L27" s="147"/>
      <c r="M27" s="147"/>
      <c r="N27" s="148"/>
      <c r="O27" s="147"/>
      <c r="P27" s="147"/>
      <c r="Q27" s="146"/>
      <c r="R27" s="147"/>
      <c r="S27" s="147"/>
      <c r="T27" s="146">
        <f>C27</f>
        <v>571.74</v>
      </c>
      <c r="U27" s="147">
        <v>1</v>
      </c>
      <c r="V27" s="147">
        <f t="shared" si="7"/>
        <v>1</v>
      </c>
    </row>
    <row r="28" spans="1:22">
      <c r="A28" s="150"/>
      <c r="B28" s="151"/>
      <c r="C28" s="144"/>
      <c r="D28" s="152"/>
      <c r="E28" s="146"/>
      <c r="F28" s="147"/>
      <c r="G28" s="147"/>
      <c r="H28" s="146"/>
      <c r="I28" s="147"/>
      <c r="J28" s="147"/>
      <c r="K28" s="148"/>
      <c r="L28" s="147"/>
      <c r="M28" s="147"/>
      <c r="N28" s="148"/>
      <c r="O28" s="147"/>
      <c r="P28" s="147"/>
      <c r="Q28" s="146"/>
      <c r="R28" s="147"/>
      <c r="S28" s="147"/>
      <c r="T28" s="146"/>
      <c r="U28" s="147"/>
      <c r="V28" s="147"/>
    </row>
    <row r="29" spans="1:22" ht="13.5" thickBot="1">
      <c r="A29" s="153"/>
      <c r="B29" s="154"/>
      <c r="C29" s="155"/>
      <c r="D29" s="154"/>
      <c r="E29" s="156"/>
      <c r="F29" s="157"/>
      <c r="G29" s="157"/>
      <c r="H29" s="156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8"/>
      <c r="U29" s="158"/>
      <c r="V29" s="158"/>
    </row>
    <row r="30" spans="1:22" ht="13.5" thickBot="1">
      <c r="A30" s="293" t="s">
        <v>92</v>
      </c>
      <c r="B30" s="293"/>
      <c r="C30" s="159" t="e">
        <f>SUM(C10:C29)</f>
        <v>#REF!</v>
      </c>
      <c r="D30" s="160" t="e">
        <f>SUM(D10:D27)</f>
        <v>#REF!</v>
      </c>
      <c r="E30" s="161" t="e">
        <f>SUM(E26,E16,E14,E12,E13,E11,E10)</f>
        <v>#REF!</v>
      </c>
      <c r="F30" s="162" t="e">
        <f>E30/C30</f>
        <v>#REF!</v>
      </c>
      <c r="G30" s="162" t="e">
        <f>F30</f>
        <v>#REF!</v>
      </c>
      <c r="H30" s="161" t="e">
        <f>SUM(H10:H28)</f>
        <v>#REF!</v>
      </c>
      <c r="I30" s="162" t="e">
        <f>H30/C30</f>
        <v>#REF!</v>
      </c>
      <c r="J30" s="162" t="e">
        <f>I30+G30</f>
        <v>#REF!</v>
      </c>
      <c r="K30" s="163" t="e">
        <f>SUM(K10:K28)</f>
        <v>#REF!</v>
      </c>
      <c r="L30" s="162" t="e">
        <f>K30/C30</f>
        <v>#REF!</v>
      </c>
      <c r="M30" s="162" t="e">
        <f>L30+J30</f>
        <v>#REF!</v>
      </c>
      <c r="N30" s="163">
        <f>SUM(N10:N28)</f>
        <v>15923.200499999999</v>
      </c>
      <c r="O30" s="162" t="e">
        <f>N30/C30</f>
        <v>#REF!</v>
      </c>
      <c r="P30" s="162" t="e">
        <f>O30+M30</f>
        <v>#REF!</v>
      </c>
      <c r="Q30" s="163">
        <f>SUM(Q10:Q28)</f>
        <v>15194.811999999998</v>
      </c>
      <c r="R30" s="162" t="e">
        <f>Q30/C30</f>
        <v>#REF!</v>
      </c>
      <c r="S30" s="164">
        <v>0.87109999999999999</v>
      </c>
      <c r="T30" s="163" t="e">
        <f>SUM(T10:T27)</f>
        <v>#REF!</v>
      </c>
      <c r="U30" s="162" t="e">
        <f>T30/C30</f>
        <v>#REF!</v>
      </c>
      <c r="V30" s="164" t="e">
        <f>U30+S30</f>
        <v>#REF!</v>
      </c>
    </row>
    <row r="31" spans="1:22" ht="13.5" thickBot="1">
      <c r="A31" s="294" t="s">
        <v>93</v>
      </c>
      <c r="B31" s="294"/>
      <c r="C31" s="165" t="e">
        <f>+C30</f>
        <v>#REF!</v>
      </c>
      <c r="D31" s="166">
        <v>1</v>
      </c>
      <c r="E31" s="167" t="e">
        <f>E30</f>
        <v>#REF!</v>
      </c>
      <c r="F31" s="162" t="e">
        <f t="shared" ref="F31" si="8">E31/C31</f>
        <v>#REF!</v>
      </c>
      <c r="G31" s="162" t="e">
        <f t="shared" ref="G31:G32" si="9">F31</f>
        <v>#REF!</v>
      </c>
      <c r="H31" s="167" t="e">
        <f>E31+H30</f>
        <v>#REF!</v>
      </c>
      <c r="I31" s="162" t="e">
        <f>I30</f>
        <v>#REF!</v>
      </c>
      <c r="J31" s="162" t="e">
        <f t="shared" ref="J31" si="10">I31+G31</f>
        <v>#REF!</v>
      </c>
      <c r="K31" s="168" t="e">
        <f>H31+K30</f>
        <v>#REF!</v>
      </c>
      <c r="L31" s="162">
        <v>0.2072</v>
      </c>
      <c r="M31" s="162">
        <v>0.47799999999999998</v>
      </c>
      <c r="N31" s="168" t="e">
        <f>K31+N30</f>
        <v>#REF!</v>
      </c>
      <c r="O31" s="162" t="e">
        <f>O30</f>
        <v>#REF!</v>
      </c>
      <c r="P31" s="162" t="e">
        <f t="shared" ref="P31" si="11">O31+M31</f>
        <v>#REF!</v>
      </c>
      <c r="Q31" s="167" t="e">
        <f>N31+Q30</f>
        <v>#REF!</v>
      </c>
      <c r="R31" s="162" t="e">
        <f>R30</f>
        <v>#REF!</v>
      </c>
      <c r="S31" s="164">
        <v>0.87109999999999999</v>
      </c>
      <c r="T31" s="167" t="e">
        <f>Q31+T30</f>
        <v>#REF!</v>
      </c>
      <c r="U31" s="162" t="e">
        <f>U30</f>
        <v>#REF!</v>
      </c>
      <c r="V31" s="164" t="e">
        <f t="shared" ref="V31:V33" si="12">U31+S31</f>
        <v>#REF!</v>
      </c>
    </row>
    <row r="32" spans="1:22" ht="13.5" thickBot="1">
      <c r="A32" s="294" t="s">
        <v>94</v>
      </c>
      <c r="B32" s="294"/>
      <c r="C32" s="169">
        <v>250000</v>
      </c>
      <c r="D32" s="166" t="e">
        <f>C32/C30</f>
        <v>#REF!</v>
      </c>
      <c r="E32" s="167" t="e">
        <f>E30*0.8329</f>
        <v>#REF!</v>
      </c>
      <c r="F32" s="233">
        <v>0.1013</v>
      </c>
      <c r="G32" s="162">
        <f t="shared" si="9"/>
        <v>0.1013</v>
      </c>
      <c r="H32" s="167" t="e">
        <f t="shared" ref="H32:T32" si="13">H30*0.8329</f>
        <v>#REF!</v>
      </c>
      <c r="I32" s="162">
        <v>0.1694</v>
      </c>
      <c r="J32" s="162">
        <v>0.27079999999999999</v>
      </c>
      <c r="K32" s="167" t="e">
        <f t="shared" si="13"/>
        <v>#REF!</v>
      </c>
      <c r="L32" s="162">
        <v>0.2072</v>
      </c>
      <c r="M32" s="162">
        <v>0.47799999999999998</v>
      </c>
      <c r="N32" s="167">
        <f t="shared" si="13"/>
        <v>13262.433696449998</v>
      </c>
      <c r="O32" s="162">
        <v>0.20799999999999999</v>
      </c>
      <c r="P32" s="162">
        <v>0.68600000000000005</v>
      </c>
      <c r="Q32" s="167">
        <f t="shared" si="13"/>
        <v>12655.758914799999</v>
      </c>
      <c r="R32" s="162">
        <v>0.1852</v>
      </c>
      <c r="S32" s="164">
        <v>0.87109999999999999</v>
      </c>
      <c r="T32" s="167" t="e">
        <f t="shared" si="13"/>
        <v>#REF!</v>
      </c>
      <c r="U32" s="162">
        <v>0.12889999999999999</v>
      </c>
      <c r="V32" s="164">
        <f t="shared" si="12"/>
        <v>1</v>
      </c>
    </row>
    <row r="33" spans="1:22" ht="13.5" thickBot="1">
      <c r="A33" s="295" t="s">
        <v>107</v>
      </c>
      <c r="B33" s="295"/>
      <c r="C33" s="170">
        <v>3000</v>
      </c>
      <c r="D33" s="166" t="e">
        <f>C33/C31</f>
        <v>#REF!</v>
      </c>
      <c r="E33" s="171" t="e">
        <f>E30*0.1671</f>
        <v>#REF!</v>
      </c>
      <c r="F33" s="162">
        <v>0.1013</v>
      </c>
      <c r="G33" s="162">
        <v>0.1013</v>
      </c>
      <c r="H33" s="171" t="e">
        <f t="shared" ref="H33:T33" si="14">H30*0.1671</f>
        <v>#REF!</v>
      </c>
      <c r="I33" s="162">
        <v>0.1694</v>
      </c>
      <c r="J33" s="162">
        <v>0.27079999999999999</v>
      </c>
      <c r="K33" s="171" t="e">
        <f t="shared" si="14"/>
        <v>#REF!</v>
      </c>
      <c r="L33" s="162">
        <v>0.2072</v>
      </c>
      <c r="M33" s="162">
        <v>0.47799999999999998</v>
      </c>
      <c r="N33" s="171">
        <f t="shared" si="14"/>
        <v>2660.7668035499996</v>
      </c>
      <c r="O33" s="162">
        <v>0.20799999999999999</v>
      </c>
      <c r="P33" s="162">
        <v>0.68600000000000005</v>
      </c>
      <c r="Q33" s="171">
        <f t="shared" si="14"/>
        <v>2539.0530851999997</v>
      </c>
      <c r="R33" s="162">
        <v>0.1852</v>
      </c>
      <c r="S33" s="164">
        <v>0.87109999999999999</v>
      </c>
      <c r="T33" s="171" t="e">
        <f t="shared" si="14"/>
        <v>#REF!</v>
      </c>
      <c r="U33" s="162">
        <v>0.12889999999999999</v>
      </c>
      <c r="V33" s="164">
        <f t="shared" si="12"/>
        <v>1</v>
      </c>
    </row>
    <row r="34" spans="1:22">
      <c r="A34" s="128"/>
      <c r="B34" s="128"/>
      <c r="C34" s="128"/>
      <c r="D34" s="128"/>
      <c r="E34" s="130"/>
      <c r="F34" s="128"/>
      <c r="G34" s="128"/>
      <c r="H34" s="130"/>
      <c r="I34" s="128"/>
      <c r="J34" s="128"/>
      <c r="K34" s="128"/>
      <c r="L34" s="128"/>
      <c r="M34" s="128"/>
      <c r="N34" s="128"/>
      <c r="O34" s="128"/>
      <c r="P34" s="128"/>
      <c r="Q34" s="128"/>
      <c r="R34" s="131"/>
      <c r="S34" s="131"/>
      <c r="T34" s="128"/>
      <c r="U34" s="128"/>
      <c r="V34" s="128"/>
    </row>
    <row r="35" spans="1:22">
      <c r="A35" s="128"/>
      <c r="B35" s="128"/>
      <c r="C35" s="130"/>
      <c r="D35" s="131"/>
      <c r="E35" s="130"/>
      <c r="F35" s="130"/>
      <c r="G35" s="130"/>
      <c r="H35" s="130"/>
      <c r="I35" s="130"/>
      <c r="J35" s="130"/>
      <c r="K35" s="130"/>
      <c r="L35" s="130"/>
      <c r="M35" s="130"/>
      <c r="N35" s="130"/>
      <c r="O35" s="130"/>
      <c r="P35" s="130"/>
      <c r="Q35" s="130"/>
      <c r="R35" s="130"/>
      <c r="S35" s="128"/>
      <c r="T35" s="128"/>
      <c r="U35" s="128"/>
      <c r="V35" s="128"/>
    </row>
    <row r="36" spans="1:22">
      <c r="A36" s="128"/>
      <c r="B36" s="128"/>
      <c r="C36" s="130"/>
      <c r="D36" s="131"/>
      <c r="E36" s="130"/>
      <c r="F36" s="128"/>
      <c r="G36" s="130"/>
      <c r="H36" s="130"/>
      <c r="I36" s="128"/>
      <c r="J36" s="128"/>
      <c r="K36" s="128"/>
      <c r="L36" s="128"/>
      <c r="M36" s="128"/>
      <c r="N36" s="128"/>
      <c r="O36" s="128"/>
      <c r="P36" s="128"/>
      <c r="Q36" s="130"/>
      <c r="R36" s="128"/>
      <c r="S36" s="128"/>
      <c r="T36" s="128"/>
      <c r="U36" s="128"/>
      <c r="V36" s="128"/>
    </row>
    <row r="37" spans="1:22" ht="15.75">
      <c r="A37" s="128"/>
      <c r="B37" s="128"/>
      <c r="C37" s="132"/>
      <c r="D37" s="132"/>
      <c r="E37" s="132"/>
      <c r="F37" s="132"/>
      <c r="G37" s="132"/>
      <c r="H37" s="133"/>
      <c r="I37" s="131"/>
      <c r="J37" s="128"/>
      <c r="K37" s="131"/>
      <c r="L37" s="128"/>
      <c r="M37" s="128"/>
      <c r="N37" s="128"/>
      <c r="O37" s="128"/>
      <c r="P37" s="128"/>
      <c r="Q37" s="134"/>
      <c r="R37" s="135"/>
      <c r="S37" s="135"/>
      <c r="T37" s="135"/>
      <c r="U37" s="135"/>
      <c r="V37" s="136"/>
    </row>
    <row r="38" spans="1:22" ht="15.75">
      <c r="A38" s="128"/>
      <c r="B38" s="128"/>
      <c r="C38" s="130"/>
      <c r="D38" s="292"/>
      <c r="E38" s="292"/>
      <c r="F38" s="292"/>
      <c r="G38" s="292"/>
      <c r="H38" s="292"/>
      <c r="I38" s="136"/>
      <c r="J38" s="137"/>
      <c r="K38" s="131"/>
      <c r="L38" s="131"/>
      <c r="M38" s="131"/>
      <c r="N38" s="131"/>
      <c r="O38" s="131"/>
      <c r="P38" s="131"/>
      <c r="Q38" s="138"/>
      <c r="R38" s="138"/>
      <c r="S38" s="138"/>
      <c r="T38" s="138"/>
      <c r="U38" s="139"/>
      <c r="V38" s="136"/>
    </row>
    <row r="39" spans="1:22" ht="15.75">
      <c r="A39" s="128"/>
      <c r="B39" s="128"/>
      <c r="C39" s="130"/>
      <c r="D39" s="140"/>
      <c r="E39" s="138"/>
      <c r="F39" s="138"/>
      <c r="G39" s="138"/>
      <c r="H39" s="139"/>
      <c r="I39" s="136"/>
      <c r="J39" s="136"/>
      <c r="K39" s="128"/>
      <c r="L39" s="128"/>
      <c r="M39" s="128"/>
      <c r="N39" s="128"/>
      <c r="O39" s="128"/>
      <c r="P39" s="128"/>
      <c r="Q39" s="141"/>
      <c r="R39" s="141"/>
      <c r="S39" s="141"/>
      <c r="T39" s="141"/>
      <c r="U39" s="136"/>
      <c r="V39" s="136"/>
    </row>
    <row r="40" spans="1:22" ht="15.75">
      <c r="A40" s="128"/>
      <c r="B40" s="128"/>
      <c r="C40" s="128"/>
      <c r="D40" s="141"/>
      <c r="E40" s="141"/>
      <c r="F40" s="141"/>
      <c r="G40" s="141"/>
      <c r="H40" s="136"/>
      <c r="I40" s="136"/>
      <c r="J40" s="136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</row>
  </sheetData>
  <mergeCells count="17">
    <mergeCell ref="D38:H38"/>
    <mergeCell ref="Q8:S8"/>
    <mergeCell ref="T8:V8"/>
    <mergeCell ref="A30:B30"/>
    <mergeCell ref="A31:B31"/>
    <mergeCell ref="A32:B32"/>
    <mergeCell ref="A33:B33"/>
    <mergeCell ref="A5:V5"/>
    <mergeCell ref="A7:A9"/>
    <mergeCell ref="B7:B9"/>
    <mergeCell ref="C7:C9"/>
    <mergeCell ref="D7:D9"/>
    <mergeCell ref="E7:V7"/>
    <mergeCell ref="E8:G8"/>
    <mergeCell ref="H8:J8"/>
    <mergeCell ref="K8:M8"/>
    <mergeCell ref="N8:P8"/>
  </mergeCells>
  <pageMargins left="0.511811024" right="0.511811024" top="0.78740157499999996" bottom="0.78740157499999996" header="0.31496062000000002" footer="0.31496062000000002"/>
  <pageSetup paperSize="9" scale="58" orientation="landscape" r:id="rId1"/>
  <ignoredErrors>
    <ignoredError sqref="K17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activeCell="H10" sqref="H10"/>
    </sheetView>
  </sheetViews>
  <sheetFormatPr defaultRowHeight="12.75"/>
  <sheetData>
    <row r="1" spans="1:8">
      <c r="A1">
        <v>3.53</v>
      </c>
      <c r="C1">
        <f>12.85*3</f>
        <v>38.549999999999997</v>
      </c>
      <c r="F1">
        <v>3</v>
      </c>
      <c r="H1">
        <v>8.1999999999999993</v>
      </c>
    </row>
    <row r="2" spans="1:8">
      <c r="A2">
        <v>3.92</v>
      </c>
      <c r="C2">
        <v>7.52</v>
      </c>
      <c r="F2">
        <v>3</v>
      </c>
      <c r="H2">
        <v>8.1999999999999993</v>
      </c>
    </row>
    <row r="3" spans="1:8">
      <c r="A3">
        <v>3.92</v>
      </c>
      <c r="C3">
        <v>16.22</v>
      </c>
      <c r="F3">
        <v>3.3</v>
      </c>
      <c r="H3">
        <v>5.2</v>
      </c>
    </row>
    <row r="4" spans="1:8">
      <c r="A4">
        <v>3.92</v>
      </c>
      <c r="C4">
        <v>52.43</v>
      </c>
      <c r="F4">
        <v>3.3</v>
      </c>
      <c r="H4">
        <v>5.2</v>
      </c>
    </row>
    <row r="5" spans="1:8">
      <c r="A5">
        <f>SUM(A1:A4)</f>
        <v>15.29</v>
      </c>
      <c r="C5">
        <v>21.19</v>
      </c>
      <c r="F5">
        <v>3.3</v>
      </c>
      <c r="H5">
        <v>10.4</v>
      </c>
    </row>
    <row r="6" spans="1:8">
      <c r="C6">
        <v>6.58</v>
      </c>
      <c r="F6">
        <v>3.3</v>
      </c>
      <c r="H6">
        <v>10.4</v>
      </c>
    </row>
    <row r="7" spans="1:8">
      <c r="C7">
        <v>5.46</v>
      </c>
      <c r="F7">
        <v>3.3</v>
      </c>
      <c r="H7">
        <v>10.6</v>
      </c>
    </row>
    <row r="8" spans="1:8">
      <c r="C8">
        <v>6.44</v>
      </c>
      <c r="F8">
        <v>3.3</v>
      </c>
      <c r="H8">
        <f>SUM(H1:H7)</f>
        <v>58.199999999999996</v>
      </c>
    </row>
    <row r="9" spans="1:8">
      <c r="C9">
        <f>SUM(C1:C8)</f>
        <v>154.39000000000001</v>
      </c>
      <c r="F9">
        <v>3</v>
      </c>
      <c r="H9">
        <f>0.85*2.1*2</f>
        <v>3.57</v>
      </c>
    </row>
    <row r="10" spans="1:8">
      <c r="F10">
        <v>3</v>
      </c>
      <c r="H10" s="252">
        <f>H8-H9</f>
        <v>54.629999999999995</v>
      </c>
    </row>
    <row r="11" spans="1:8">
      <c r="F11">
        <f>SUM(F1:F10)</f>
        <v>31.800000000000004</v>
      </c>
    </row>
    <row r="12" spans="1:8">
      <c r="F12">
        <f>0.8*2.1*3</f>
        <v>5.0400000000000009</v>
      </c>
    </row>
    <row r="13" spans="1:8">
      <c r="F13" s="252">
        <f>F11-F12</f>
        <v>26.760000000000005</v>
      </c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1</vt:i4>
      </vt:variant>
    </vt:vector>
  </HeadingPairs>
  <TitlesOfParts>
    <vt:vector size="6" baseType="lpstr">
      <vt:lpstr>PLANILHA</vt:lpstr>
      <vt:lpstr>CRONOG FISICO</vt:lpstr>
      <vt:lpstr>RESUMO</vt:lpstr>
      <vt:lpstr>CRONOG GERAL</vt:lpstr>
      <vt:lpstr>Plan1</vt:lpstr>
      <vt:lpstr>PLANILHA!Titulos_de_impressao</vt:lpstr>
    </vt:vector>
  </TitlesOfParts>
  <Company>FNDE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Djoice Zanetti</dc:creator>
  <cp:lastModifiedBy>Usuario</cp:lastModifiedBy>
  <cp:lastPrinted>2018-05-21T13:54:59Z</cp:lastPrinted>
  <dcterms:created xsi:type="dcterms:W3CDTF">2009-07-02T17:29:30Z</dcterms:created>
  <dcterms:modified xsi:type="dcterms:W3CDTF">2018-05-28T18:47:45Z</dcterms:modified>
</cp:coreProperties>
</file>