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2000" windowHeight="6210" tabRatio="974" firstSheet="5" activeTab="6"/>
  </bookViews>
  <sheets>
    <sheet name="MEM_DRENAGEM" sheetId="1" r:id="rId1"/>
    <sheet name="MEM_DRENO" sheetId="2" state="hidden" r:id="rId2"/>
    <sheet name="PLANILHA DE CUBAÇÃO" sheetId="3" state="hidden" r:id="rId3"/>
    <sheet name="MEM_SINALIZ" sheetId="4" state="hidden" r:id="rId4"/>
    <sheet name="MEM_CORTE_PAV" sheetId="5" state="hidden" r:id="rId5"/>
    <sheet name="PLANILHA" sheetId="6" r:id="rId6"/>
    <sheet name="CRONO" sheetId="7" r:id="rId7"/>
    <sheet name="ANEXO I - RECOMP_PAV" sheetId="8" state="hidden" r:id="rId8"/>
    <sheet name="COMPOSIÇÃO I" sheetId="9" state="hidden" r:id="rId9"/>
    <sheet name="COMP 02 - CHAMINÉ" sheetId="10" state="hidden" r:id="rId10"/>
    <sheet name="COMPO 03 - CP" sheetId="11" state="hidden" r:id="rId11"/>
    <sheet name="COMP 06 - RECOMP. ASFÁLTICA" sheetId="12" state="hidden" r:id="rId12"/>
    <sheet name="COMP 10 - PLACA" sheetId="13" state="hidden" r:id="rId13"/>
    <sheet name="COMP 11 - POSTE" sheetId="14" state="hidden" r:id="rId14"/>
  </sheets>
  <definedNames>
    <definedName name="_xlnm.Print_Area" localSheetId="7">'ANEXO I - RECOMP_PAV'!$A$1:$H$25</definedName>
    <definedName name="_xlnm.Print_Area" localSheetId="9">'COMP 02 - CHAMINÉ'!$A$1:$G$15</definedName>
    <definedName name="_xlnm.Print_Area" localSheetId="11">'COMP 06 - RECOMP. ASFÁLTICA'!$A$1:$H$22</definedName>
    <definedName name="_xlnm.Print_Area" localSheetId="12">'COMP 10 - PLACA'!$A$1:$G$20</definedName>
    <definedName name="_xlnm.Print_Area" localSheetId="13">'COMP 11 - POSTE'!$A$1:$G$20</definedName>
    <definedName name="_xlnm.Print_Area" localSheetId="10">'COMPO 03 - CP'!$A$1:$G$24</definedName>
    <definedName name="_xlnm.Print_Area" localSheetId="8">'COMPOSIÇÃO I'!$A$1:$H$23</definedName>
    <definedName name="_xlnm.Print_Area" localSheetId="6">'CRONO'!$A$1:$O$17</definedName>
    <definedName name="_xlnm.Print_Area" localSheetId="4">'MEM_CORTE_PAV'!$A$1:$J$27</definedName>
    <definedName name="_xlnm.Print_Area" localSheetId="0">'MEM_DRENAGEM'!$A$1:$J$135</definedName>
    <definedName name="_xlnm.Print_Area" localSheetId="1">'MEM_DRENO'!$A$1:$N$32</definedName>
    <definedName name="_xlnm.Print_Area" localSheetId="3">'MEM_SINALIZ'!$A$1:$G$56</definedName>
    <definedName name="_xlnm.Print_Area" localSheetId="5">'PLANILHA'!$A$1:$H$88</definedName>
    <definedName name="_xlnm.Print_Titles" localSheetId="0">'MEM_DRENAGEM'!$1:$7</definedName>
    <definedName name="_xlnm.Print_Titles" localSheetId="5">'PLANILHA'!$1:$12</definedName>
    <definedName name="_xlnm.Print_Titles" localSheetId="2">'PLANILHA DE CUBAÇÃO'!$1:$7</definedName>
  </definedNames>
  <calcPr fullCalcOnLoad="1" fullPrecision="0"/>
</workbook>
</file>

<file path=xl/comments1.xml><?xml version="1.0" encoding="utf-8"?>
<comments xmlns="http://schemas.openxmlformats.org/spreadsheetml/2006/main">
  <authors>
    <author>Windows XP</author>
  </authors>
  <commentList>
    <comment ref="A65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</t>
        </r>
      </text>
    </comment>
    <comment ref="A85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XP</author>
  </authors>
  <commentList>
    <comment ref="A8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>Windows XP: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<sst xmlns="http://schemas.openxmlformats.org/spreadsheetml/2006/main" count="1068" uniqueCount="584">
  <si>
    <t>ITEM</t>
  </si>
  <si>
    <t>DESCRIÇÃO</t>
  </si>
  <si>
    <t>QUANT</t>
  </si>
  <si>
    <t>SERVIÇOS PRELIMINARES</t>
  </si>
  <si>
    <t>TOTAL GERAL</t>
  </si>
  <si>
    <t>%</t>
  </si>
  <si>
    <t>UNITÁRIO</t>
  </si>
  <si>
    <t>TOTAL</t>
  </si>
  <si>
    <t>Total</t>
  </si>
  <si>
    <t>Sub Total</t>
  </si>
  <si>
    <t>m</t>
  </si>
  <si>
    <t>m²</t>
  </si>
  <si>
    <t>m³</t>
  </si>
  <si>
    <t>t.km</t>
  </si>
  <si>
    <t>SERVIÇOS COMPLEMENTARES</t>
  </si>
  <si>
    <t>UN</t>
  </si>
  <si>
    <t>TERRAPLENAGEM</t>
  </si>
  <si>
    <t>74209/001</t>
  </si>
  <si>
    <t>DMT</t>
  </si>
  <si>
    <t>un</t>
  </si>
  <si>
    <t>2.00.000</t>
  </si>
  <si>
    <t>1.00.000</t>
  </si>
  <si>
    <t>1.00.001</t>
  </si>
  <si>
    <t>2.01.001</t>
  </si>
  <si>
    <t>2.01.002</t>
  </si>
  <si>
    <t>PAVIMENTAÇÃO</t>
  </si>
  <si>
    <t>1.00.002</t>
  </si>
  <si>
    <t>CRONOGRAMA FÍSICO / FINANCEIRO - GERAL</t>
  </si>
  <si>
    <t>t</t>
  </si>
  <si>
    <t>1.00.003</t>
  </si>
  <si>
    <t>Fornecimento de concreto betuminoso usinado a quente, faixa C, exclusive transporte</t>
  </si>
  <si>
    <t>m³.km</t>
  </si>
  <si>
    <t>MEMÓRIA DE CÁLCULO DRENAGEM</t>
  </si>
  <si>
    <t>Dados:</t>
  </si>
  <si>
    <t>Trecho</t>
  </si>
  <si>
    <t>Base Montante</t>
  </si>
  <si>
    <t>Base Jusante</t>
  </si>
  <si>
    <t>b</t>
  </si>
  <si>
    <t>b'</t>
  </si>
  <si>
    <t>B</t>
  </si>
  <si>
    <t>mm</t>
  </si>
  <si>
    <t>Ramais</t>
  </si>
  <si>
    <t>Serviços:</t>
  </si>
  <si>
    <t>Área Média</t>
  </si>
  <si>
    <t>Regulari-zação</t>
  </si>
  <si>
    <t>Serviço</t>
  </si>
  <si>
    <t>Quant.</t>
  </si>
  <si>
    <t>Base</t>
  </si>
  <si>
    <t>Boca de lobo dupla</t>
  </si>
  <si>
    <t>km</t>
  </si>
  <si>
    <t>Densidade da brita =</t>
  </si>
  <si>
    <t>t/m³</t>
  </si>
  <si>
    <t>MUNICÍPIO: NIOAQUE/MS</t>
  </si>
  <si>
    <t>LOCAL: RUA HÉLIO SEREJO</t>
  </si>
  <si>
    <t>Poço de visita tipo PV-1</t>
  </si>
  <si>
    <t>Unidade</t>
  </si>
  <si>
    <t>TRECHO</t>
  </si>
  <si>
    <t>COMP</t>
  </si>
  <si>
    <t>SEÇÃO</t>
  </si>
  <si>
    <t>BASE MONTANTE</t>
  </si>
  <si>
    <t>BASE JUSANTE</t>
  </si>
  <si>
    <t>ÁREA MONTANTE</t>
  </si>
  <si>
    <t>ÁREA JUSANTE</t>
  </si>
  <si>
    <t>ÁREA MÉDIA</t>
  </si>
  <si>
    <t>BRITA DRENOS</t>
  </si>
  <si>
    <t>VOL. ESC. TOTAL</t>
  </si>
  <si>
    <t>ESCAV. MANUAL</t>
  </si>
  <si>
    <t>REGUL.</t>
  </si>
  <si>
    <t>BOTA FORA</t>
  </si>
  <si>
    <t xml:space="preserve">b </t>
  </si>
  <si>
    <t>M</t>
  </si>
  <si>
    <t>M²</t>
  </si>
  <si>
    <t>M³</t>
  </si>
  <si>
    <t>TxKM</t>
  </si>
  <si>
    <t>VOLUME ESCAVADO = ÁREA MÉDIA ENTRE SEÇÃO À JUSANTE E SEÇÃO A MONANTE X EXTENSÃO</t>
  </si>
  <si>
    <t>VOLUME ESCAVADO MANUAL = 10% DO VOLUME ESCAVADO</t>
  </si>
  <si>
    <t>REGULARIZAÇÃO = LARGURA DA VALA x EXTENSÃO</t>
  </si>
  <si>
    <t>ESCORAMENTO DESCONTÍNUO = PARA PROFUNDIDADE DE ESCAVAÇÃO MAIOR QUE 2 = 2 VEZES A ALTURA X EXTENSÃO</t>
  </si>
  <si>
    <t>REATERRO MANUAL = ATÉ 30 CM ACIMA DA GERATRIZ SUPERIOR DO DRENO MENOS O VOLUME DE BRITA DO DRENO</t>
  </si>
  <si>
    <t>REATERRO PLACA = REATERRO ACIMA DE 30 CM DA GERATRIZ SUPERIOR DO DRENO</t>
  </si>
  <si>
    <t>BOTA-FORA = VOLUME DE BRITA X 1,30 (EMPOLAMENTO)</t>
  </si>
  <si>
    <t>BRITA P/ DRENO: COMPRIMENTO X SEÇÃO</t>
  </si>
  <si>
    <t>ESCAV. MONTANTE</t>
  </si>
  <si>
    <t>ESCAV. JUSANTE</t>
  </si>
  <si>
    <t>Rua Hélio Serejo</t>
  </si>
  <si>
    <t>Trecho 1</t>
  </si>
  <si>
    <t>Trecho 2</t>
  </si>
  <si>
    <t>DMT da brita =</t>
  </si>
  <si>
    <t>MEMÓRIA DE CÁLCULO DRENO PROFUNDO</t>
  </si>
  <si>
    <r>
      <t xml:space="preserve">OBRA / SERVIÇO: </t>
    </r>
    <r>
      <rPr>
        <b/>
        <sz val="10"/>
        <color indexed="8"/>
        <rFont val="Arial Narrow"/>
        <family val="2"/>
      </rPr>
      <t>DRENO PROFUNDO</t>
    </r>
  </si>
  <si>
    <t>TUBO POROSO</t>
  </si>
  <si>
    <t>Local</t>
  </si>
  <si>
    <t>Quantidade</t>
  </si>
  <si>
    <t>Comprimento</t>
  </si>
  <si>
    <t>cm²</t>
  </si>
  <si>
    <t>Empolamento =</t>
  </si>
  <si>
    <t>Bota Fora</t>
  </si>
  <si>
    <t>Escavação Manual</t>
  </si>
  <si>
    <t>REATERRO MECÂNICO</t>
  </si>
  <si>
    <t>REATERRO MANUAL</t>
  </si>
  <si>
    <t>TRANSPORTE DE BRITA</t>
  </si>
  <si>
    <t>MANTA GEOTÊXTIL</t>
  </si>
  <si>
    <r>
      <t xml:space="preserve">OBRA/SERVIÇO: </t>
    </r>
    <r>
      <rPr>
        <b/>
        <sz val="10"/>
        <rFont val="Arial Narrow"/>
        <family val="2"/>
      </rPr>
      <t>PAVIMENTAÇÃO ASFÁLTICA</t>
    </r>
  </si>
  <si>
    <t>ÁREA A PAVIMENTAR:</t>
  </si>
  <si>
    <t>DATA: AGOSTO/2011</t>
  </si>
  <si>
    <t>RESUMO GERAL</t>
  </si>
  <si>
    <t>1.00.004</t>
  </si>
  <si>
    <r>
      <t xml:space="preserve">OBRA / SERVIÇO: </t>
    </r>
    <r>
      <rPr>
        <b/>
        <sz val="10"/>
        <color indexed="8"/>
        <rFont val="Arial Narrow"/>
        <family val="2"/>
      </rPr>
      <t>DRENAGEM PLUVIAL PROFUNDA</t>
    </r>
  </si>
  <si>
    <t>MUNICÍPIO: CAARAPÓ/MS</t>
  </si>
  <si>
    <t>SINAPI: SETEMBRO/2011</t>
  </si>
  <si>
    <t>Regularização e compactação do subleito até 20 cm de espessura</t>
  </si>
  <si>
    <t>Imprimação de base de pavimentação com emulsão CM-30, execução e fornecimento</t>
  </si>
  <si>
    <t>CÓDIGO SINAPI</t>
  </si>
  <si>
    <t>TOTAL SIMPLES</t>
  </si>
  <si>
    <t>TOTAL ACUMULADO</t>
  </si>
  <si>
    <t>EQUIPAMENTOS</t>
  </si>
  <si>
    <t>5837</t>
  </si>
  <si>
    <t>5684</t>
  </si>
  <si>
    <t>5685</t>
  </si>
  <si>
    <t>5871</t>
  </si>
  <si>
    <t>1.00.005</t>
  </si>
  <si>
    <t>1.00.006</t>
  </si>
  <si>
    <t>chp</t>
  </si>
  <si>
    <t>chi</t>
  </si>
  <si>
    <t>MÃO DE OBRA</t>
  </si>
  <si>
    <t>Rasteleiro</t>
  </si>
  <si>
    <t>Ajudante</t>
  </si>
  <si>
    <t>h</t>
  </si>
  <si>
    <r>
      <t xml:space="preserve">OBRA/SERVIÇO: </t>
    </r>
    <r>
      <rPr>
        <b/>
        <sz val="10"/>
        <rFont val="Arial Narrow"/>
        <family val="2"/>
      </rPr>
      <t>APLICAÇÃO DE CBUQ</t>
    </r>
  </si>
  <si>
    <t>Vibroacabadora sobre esteiras potência máxima 105 cv, capacidade até 450 t/h - CHP diurno</t>
  </si>
  <si>
    <t>Vibroacabadora sobre esteiras potência máxima 105 cv, capacidade até 450 t/h - CHI diurno</t>
  </si>
  <si>
    <t>Rolo compactador vibratório de cilindro liso, auto-propel. 83 cv - 6,6 t, impacto dinâmico 18,5/11,5 t - CHP diurno</t>
  </si>
  <si>
    <t>Rolo compactador vibratório de cilindro liso 83 cv - 6,6 t, impacto dinâmico 18,5/11,5 t - CHI</t>
  </si>
  <si>
    <t>Rolo compactador de pneus estático para asfalto, pressão variável, potência 99 HP, peso operacional sem/com lastro 8,3/21,0 t - CHP diurno</t>
  </si>
  <si>
    <t>Rolo compactador de pneus estático para asfalto, pressão variável, potência 99 HP, peso operacional sem/com lastro 8,3/21,0 t - CHI diurno</t>
  </si>
  <si>
    <t>CUSTO</t>
  </si>
  <si>
    <t>Largura</t>
  </si>
  <si>
    <t>DATA: DEZEMBRO/2011</t>
  </si>
  <si>
    <t>BDI INSUMOS: 30,00%</t>
  </si>
  <si>
    <t>BDI SERVIÇOS: 30,00%</t>
  </si>
  <si>
    <t>Transporte local de material de jazida 1ª categoria para base com caminhão basculante 6 m³, rodovia pavimentada</t>
  </si>
  <si>
    <t>1518/INS</t>
  </si>
  <si>
    <t>MEMÓRIA DE CÁLCULO CORTE E RECOMPOSIÇÃO DE PAVIMENTO</t>
  </si>
  <si>
    <t>Corte de Pavimento</t>
  </si>
  <si>
    <t>Área</t>
  </si>
  <si>
    <t>Volume</t>
  </si>
  <si>
    <t>Carga, Transp. Descarga</t>
  </si>
  <si>
    <t xml:space="preserve">Espessura do pavimento existente = </t>
  </si>
  <si>
    <t>cm</t>
  </si>
  <si>
    <t>Recomposição de Pavimento</t>
  </si>
  <si>
    <t>Espessura da Base</t>
  </si>
  <si>
    <t>Transporte Mat. de Jazida</t>
  </si>
  <si>
    <t>Imprimação</t>
  </si>
  <si>
    <t>CBUQ</t>
  </si>
  <si>
    <t>Transporte de CBUQ</t>
  </si>
  <si>
    <t xml:space="preserve">Espessura da Capa = </t>
  </si>
  <si>
    <t>Peso específico cbuq =</t>
  </si>
  <si>
    <t>DMT Cbuq =</t>
  </si>
  <si>
    <t>DMT Jazida =</t>
  </si>
  <si>
    <t>PV</t>
  </si>
  <si>
    <t>Escavação</t>
  </si>
  <si>
    <t>BDI SERVIÇOS:</t>
  </si>
  <si>
    <t>BDI INSUMOS:</t>
  </si>
  <si>
    <t>PLANILHA ORÇAMENTÁRIA - ANEXO I RECOMPOSIÇÃO DE PAVIMENTO</t>
  </si>
  <si>
    <t>RECOMPOSIÇÃO DE PAVIMENTO</t>
  </si>
  <si>
    <t>Escavação e carga de material de jazida 1ª categoria utilizando trator sobre esteiras 305 HP c/ lâmina (VU=10 anos/20.000H)</t>
  </si>
  <si>
    <t>1.00.007</t>
  </si>
  <si>
    <t>T</t>
  </si>
  <si>
    <t>1.00.008</t>
  </si>
  <si>
    <t>Transporte de material de qualquer natureza  DMT &gt; 10 km (CBUQ)</t>
  </si>
  <si>
    <t>Custo por m² =</t>
  </si>
  <si>
    <r>
      <t xml:space="preserve">OBRA / SERVIÇO: </t>
    </r>
    <r>
      <rPr>
        <b/>
        <sz val="10"/>
        <color indexed="8"/>
        <rFont val="Arial Narrow"/>
        <family val="2"/>
      </rPr>
      <t>RECOMPOSIÇÃO DE PAVIMENTAÇÃO ASFÁLTICA</t>
    </r>
  </si>
  <si>
    <t>PLANILHA ORÇAMENTÁRIA - COMPOSIÇÃO I (APLICAÇÃO DE CBUQ - t)</t>
  </si>
  <si>
    <t>MEMÓRIA DE CÁLCULO SINALIZAÇÃO</t>
  </si>
  <si>
    <t>3. Sinalização Viária Urbana</t>
  </si>
  <si>
    <t>unid.</t>
  </si>
  <si>
    <t>Sinalização Horizontal - Linha de Retenção</t>
  </si>
  <si>
    <t>Sinalização Horizontal - Inscrição "PARE"</t>
  </si>
  <si>
    <t>Área unitária</t>
  </si>
  <si>
    <t>Sinalização Vertical</t>
  </si>
  <si>
    <t>Parada Obrigatória</t>
  </si>
  <si>
    <t>Indicação Logradouros</t>
  </si>
  <si>
    <t>Regul. De Velocidade</t>
  </si>
  <si>
    <t>Poste para Fixação de Placas</t>
  </si>
  <si>
    <t>ÁREA A SINALIZAR:</t>
  </si>
  <si>
    <r>
      <t xml:space="preserve">OBRA/SERVIÇO: </t>
    </r>
    <r>
      <rPr>
        <b/>
        <sz val="10"/>
        <rFont val="Arial Narrow"/>
        <family val="2"/>
      </rPr>
      <t>SINALIZAÇÃO VIÁRIA URBANA</t>
    </r>
  </si>
  <si>
    <t>73916/002</t>
  </si>
  <si>
    <t>MUNICÍPIO: CARACOL/MS</t>
  </si>
  <si>
    <t>DATA: MARÇO/2013</t>
  </si>
  <si>
    <t>SINAPI: JANEIRO/2013</t>
  </si>
  <si>
    <t>DESCRIÇÃO DOS SERVIÇOS</t>
  </si>
  <si>
    <t>SUBTOTAL</t>
  </si>
  <si>
    <t>MICRODRENAGEM</t>
  </si>
  <si>
    <t>Regularização e apiloamento manual de fundo de vala</t>
  </si>
  <si>
    <t>PV-1 - poço-de-visita 2,32x2,32 m em alvenaria de tijolo comum de 1 vez assentada e revestida internamente com argamassa de cimento e areia 1:3, lastro de brita 12 cm, berço 18 cm em concreto 1:4:8, laje de 12 cm em concreto armado fck=18 Mpa, incl. escada marinheiro e tampão de ferro fundido</t>
  </si>
  <si>
    <t>Base estabilizada granulometricamente, sem mistura - execução</t>
  </si>
  <si>
    <t>Imprimação da base, execução e fornecimento de asfalto diluído CM-30</t>
  </si>
  <si>
    <t>Fornecimento e implantaçao de pintura mecânica no pavimento, faixas de divisão de fluxo, com tinta para demarcação viária a base de resina acrílica com espessura de 0,6 mm com consumo previsto de 0,6 l/m², com microesferas de vidro</t>
  </si>
  <si>
    <t>m³xkm</t>
  </si>
  <si>
    <t>Placa esmaltada para identificação nome da Rua, dimensao 45x25 cm</t>
  </si>
  <si>
    <t>74151/001</t>
  </si>
  <si>
    <t>VALOR (R$)</t>
  </si>
  <si>
    <t>73965/010</t>
  </si>
  <si>
    <t>Boca de lobo simples</t>
  </si>
  <si>
    <t>Sinalização Horizontal - Faixa Longitudinal Descontínua</t>
  </si>
  <si>
    <t>Sinalização Horizontal - Faixa Longitudinal Contínua</t>
  </si>
  <si>
    <t>DESCRIÇAO DOS SERVIÇOS</t>
  </si>
  <si>
    <t>30 DIAS</t>
  </si>
  <si>
    <t>60 DIAS</t>
  </si>
  <si>
    <t>90 DIAS</t>
  </si>
  <si>
    <t>VALOR</t>
  </si>
  <si>
    <t>Sinalização Horizontal - Faixa de Pedestres</t>
  </si>
  <si>
    <t>T3</t>
  </si>
  <si>
    <t>LOCAL: RUA GETÚLIO VARGAS</t>
  </si>
  <si>
    <t>ÁREA A RECOMPOR: 48,70 M</t>
  </si>
  <si>
    <t>Concreto betuminoso usinado a quente (CBUQ) - Faixa C - com CAP 50/70 (aquisiçao posto usina)</t>
  </si>
  <si>
    <t>31440/MunCG</t>
  </si>
  <si>
    <t>Aplicaçao de CBUQ</t>
  </si>
  <si>
    <t>74010/001</t>
  </si>
  <si>
    <t>Serviços topográficos para pavimentação, inclusive nota de serviços, acompanhamento e greide</t>
  </si>
  <si>
    <t>Locação de redes de água ou de esgoto, inclusive topógrafo</t>
  </si>
  <si>
    <t>PLANILHA ORÇAMENTÁRIA</t>
  </si>
  <si>
    <t>2.01.000</t>
  </si>
  <si>
    <t>Carga e descarga mecanica de solo utilizando caminhao basculante 5,0m3/11T e pá carregadeira sobre pneus * 105 HP * CAP. 1,72m3 - BOTA FORA</t>
  </si>
  <si>
    <t>Transporte local com caminhão basculante 6 m³, rodovia pavimentada DMT 800 a 1.000 m - BOTA FORA</t>
  </si>
  <si>
    <t>TOTAL SERVIÇOS PRELIMINARES</t>
  </si>
  <si>
    <t>2.02.000</t>
  </si>
  <si>
    <t>GALERIA DE ÁGUAS PLUVIAIS</t>
  </si>
  <si>
    <t>MOVIMENTAÇÃO DE TERRA</t>
  </si>
  <si>
    <t>Tubo de concreto simples classe PS-1 PB NBR 8890/2007 DN 400 mm para águas pluviais</t>
  </si>
  <si>
    <t>Assentamento de tubos de concreto DN 400 mm, simples ou armado, junta em argamassa 1:3, cimento e areia</t>
  </si>
  <si>
    <t>Tubo de concreto armado classe PA-1 PB NBR 8890/2007 DN 600 mm para águas pluviais</t>
  </si>
  <si>
    <t>Assentamento de tubos de concreto DN 600 mm, simples ou armado, junta em argamassa 1:3, cimento e areia</t>
  </si>
  <si>
    <t>2.02.002</t>
  </si>
  <si>
    <t>2.02.003</t>
  </si>
  <si>
    <t>2.02.004</t>
  </si>
  <si>
    <t>83627</t>
  </si>
  <si>
    <t>Tampão de ferro fundido, D=60cm, 175kg, para chaminé cx de areia/poço de visita assentado com argamassa cim/areia 1:4, fornecimento e assentamento</t>
  </si>
  <si>
    <t xml:space="preserve">m </t>
  </si>
  <si>
    <t>Chaminé</t>
  </si>
  <si>
    <t>TOTAL MICRODRENAGEM</t>
  </si>
  <si>
    <t>3.00.000</t>
  </si>
  <si>
    <t>PAVIMENTAÇÃO ASFÁLTICA</t>
  </si>
  <si>
    <t>3.01.000</t>
  </si>
  <si>
    <t>Escavação e carga de material de jazida 1ª categoria utilizando trator sobre esteiras de 110 a 160 HP com lâmina peso operacional 13T e pá carregadeira com 170 HP</t>
  </si>
  <si>
    <t>3.01.001</t>
  </si>
  <si>
    <t>3.01.002</t>
  </si>
  <si>
    <t>3.02.000</t>
  </si>
  <si>
    <t>3.02.001</t>
  </si>
  <si>
    <t>1518 INSUMOS</t>
  </si>
  <si>
    <t>Aplicação de concreto betuminoso usinado a quente (CBUQ) com rolo e vibroacabadora, exclusive material e transporte</t>
  </si>
  <si>
    <t>83444</t>
  </si>
  <si>
    <t>Transporte de material de qualquer natureza DMT&gt;10 km (CBUQ)</t>
  </si>
  <si>
    <t>3.02.002</t>
  </si>
  <si>
    <t>3.02.003</t>
  </si>
  <si>
    <t>3.02.004</t>
  </si>
  <si>
    <t>3.02.006</t>
  </si>
  <si>
    <t>Transporte de material de qualquer natureza DMT&gt;10 km (brita para meio-fio e tento)</t>
  </si>
  <si>
    <t>TOTAL PAVIMENTAÇÃO ASFÁLTICA</t>
  </si>
  <si>
    <t>3.03.000</t>
  </si>
  <si>
    <t>3.03.001</t>
  </si>
  <si>
    <t>3.03.002</t>
  </si>
  <si>
    <t>SINALIZAÇÃO VIÁRIA URBANA</t>
  </si>
  <si>
    <t>SINALIZAÇÃO HORIZONTAL</t>
  </si>
  <si>
    <t>SINALIZAÇÃO VERTICAL</t>
  </si>
  <si>
    <t>Placa de sinalização viária lado 40 cm, incluído suporte de madeira pintado a cal e fixado em base de concreto não estrutural</t>
  </si>
  <si>
    <t>TOTAL SINALIZAÇÃO VIÁRIA URBANA</t>
  </si>
  <si>
    <t>5.00.000</t>
  </si>
  <si>
    <t>5.01.000</t>
  </si>
  <si>
    <t>5.01.001</t>
  </si>
  <si>
    <t>5.02.000</t>
  </si>
  <si>
    <t>5.02.001</t>
  </si>
  <si>
    <t>VALOR TOTAL</t>
  </si>
  <si>
    <t>TOTAL SINALIZAÇÃO HORIZONTAL</t>
  </si>
  <si>
    <t>Placa de obra em chapa de aço galvanizado</t>
  </si>
  <si>
    <t>Barracão para depósito em tábuas de madeira, cobertura em fibrocimento 4 mm, incluso piso argamassa traço 1:6 (cimento e areia)</t>
  </si>
  <si>
    <t>Escavação manual de valas em material de 1ª categoria até 1,50 m, excluindo esgotamento e escoramento</t>
  </si>
  <si>
    <t>Reaterro manual de valas para tubulação, compactado a maço, em camadas de até 30 cm</t>
  </si>
  <si>
    <t>Reaterro de valas, sem controle de compactação, utilizando retro-escavadeira e compactador vibratório com material reaproveitado</t>
  </si>
  <si>
    <t>73892/002</t>
  </si>
  <si>
    <t>Calçada de proteção para bocas de lobo em concreto 12 Mpa, traço 1:3:5 (cimento/areia/brita) preparo mecânico, espessura 7 cm, com junta de dilatação em madeira</t>
  </si>
  <si>
    <t>5.02.002</t>
  </si>
  <si>
    <t>5.02.003</t>
  </si>
  <si>
    <t>Escavação Mecânica</t>
  </si>
  <si>
    <t>Escavação Total</t>
  </si>
  <si>
    <t>Transporte de Tubos</t>
  </si>
  <si>
    <t>Peso linear</t>
  </si>
  <si>
    <t>Transporte</t>
  </si>
  <si>
    <t>t/m</t>
  </si>
  <si>
    <t>Transporte de CM-30</t>
  </si>
  <si>
    <t>kg/m²</t>
  </si>
  <si>
    <t>DISPOSITIVOS DE DRENAGEM</t>
  </si>
  <si>
    <t>Poste de madeira nativa/regional 8,00 x 8,00 cm, pintado a cal com duas demãos para fixação de placas de identificação do nome de ruas</t>
  </si>
  <si>
    <r>
      <t xml:space="preserve">SERVIÇO: </t>
    </r>
    <r>
      <rPr>
        <b/>
        <sz val="10"/>
        <rFont val="Arial Narrow"/>
        <family val="2"/>
      </rPr>
      <t>POSTE PARA FIXAÇÃO DE PLACAS DE SINALIZAÇÃO</t>
    </r>
  </si>
  <si>
    <t>POSTE DE MADEIRA - UN</t>
  </si>
  <si>
    <t>Concreto não estrutural, consumo 210 kg/m³, preparo com betoneira, sem lançamento</t>
  </si>
  <si>
    <t>74157/004</t>
  </si>
  <si>
    <t>Lançamento/aplicação manual de concreto em fundações</t>
  </si>
  <si>
    <t>79334/001</t>
  </si>
  <si>
    <t>Pintura a base de cal e fixador a base de cola, duas demãos</t>
  </si>
  <si>
    <t>79517/001</t>
  </si>
  <si>
    <t>Escavação manual em solo profundidade até 1,50 m</t>
  </si>
  <si>
    <t>Peça de madeira de lei nativa/regional 8x8 cm não aparelhada</t>
  </si>
  <si>
    <r>
      <t xml:space="preserve">SERVIÇO: </t>
    </r>
    <r>
      <rPr>
        <b/>
        <sz val="10"/>
        <rFont val="Arial Narrow"/>
        <family val="2"/>
      </rPr>
      <t>PLACA DE SINALIZAÇÃO VIÁRIA</t>
    </r>
  </si>
  <si>
    <t>PLACA DE SINALIZAÇÃO - UN</t>
  </si>
  <si>
    <t>3.02.007</t>
  </si>
  <si>
    <t>3.03.004</t>
  </si>
  <si>
    <t>3.03.005</t>
  </si>
  <si>
    <t>Transporte local com caminhão basculante 6 m3, rodovia com revestimento primario - MATERIAL PARA BASE</t>
  </si>
  <si>
    <t>83359</t>
  </si>
  <si>
    <t>Transporte local de material betuminoso (rodovias não urbanas)</t>
  </si>
  <si>
    <t>DADOS DA TUBULAÇÃO:</t>
  </si>
  <si>
    <t>Diâmetro Nominal</t>
  </si>
  <si>
    <t>Diâmetro Externo</t>
  </si>
  <si>
    <t>Talude</t>
  </si>
  <si>
    <t>e (afast. Lateral)</t>
  </si>
  <si>
    <t>Alt. Reat. Manual</t>
  </si>
  <si>
    <t>Cobrim. Mínimo</t>
  </si>
  <si>
    <t>DADOS DOS TRECHOS:</t>
  </si>
  <si>
    <t>Cota Montante</t>
  </si>
  <si>
    <t>Cota Jusante</t>
  </si>
  <si>
    <t>Terreno</t>
  </si>
  <si>
    <t>Tubo</t>
  </si>
  <si>
    <t>QUANTIFICAÇÃO DA MOVIMENTAÇÃO DE TERRA:</t>
  </si>
  <si>
    <t>Reaterro Manual</t>
  </si>
  <si>
    <t>Reaterro Mecânico</t>
  </si>
  <si>
    <t>QUANTIFICAÇÃO DA TUBULAÇÃO:</t>
  </si>
  <si>
    <t>Quantidade de Tubos (m)</t>
  </si>
  <si>
    <t>DMT tubos de concreto =</t>
  </si>
  <si>
    <t>QUANTIFICAÇÃO DOS DISPOSITIVOS DE DRENAGEM:</t>
  </si>
  <si>
    <t>Caixa de passagem CP-1</t>
  </si>
  <si>
    <t>OBS:</t>
  </si>
  <si>
    <t>O cálculo do movimento de terra é realizado através do método das seções médias, conforme seção típica apresentada acima</t>
  </si>
  <si>
    <t>Para o cálculo do comprimento dos tubos foi descontado 2,00 metros para cada trecho referente ligação dos trechos com os poços de visita</t>
  </si>
  <si>
    <t>O percentual de escavação mecânico em relação a escavação total é de :</t>
  </si>
  <si>
    <t>O percentual de escavação manual em relação a escavação total é de:</t>
  </si>
  <si>
    <t>Escavação total = área média da vala de escavação x comprimento da rede</t>
  </si>
  <si>
    <t>Escavação mecânica = escavação total x 90%</t>
  </si>
  <si>
    <t>Escavação manual = escavação total - escavação mecânica</t>
  </si>
  <si>
    <t>Bota Fora = área do tubo assentado x comprimento do trecho</t>
  </si>
  <si>
    <t>Regularização de fundo de valas = base do fundo a vala (diâm. ext. + 2 x e) x comprimento do trecho</t>
  </si>
  <si>
    <t>Aterro manual = área média da vala de escavação até a altura do reaterro manual x comprimento do trecho - Bota fora</t>
  </si>
  <si>
    <t>Aterro mecânico = volume total escavado - bota fora - aterro manual</t>
  </si>
  <si>
    <t>Montante</t>
  </si>
  <si>
    <t>Jusante</t>
  </si>
  <si>
    <t>Média</t>
  </si>
  <si>
    <r>
      <t xml:space="preserve">OBRA/SERVIÇO: </t>
    </r>
    <r>
      <rPr>
        <b/>
        <sz val="10"/>
        <color indexed="8"/>
        <rFont val="Arial Narrow"/>
        <family val="2"/>
      </rPr>
      <t>DRENAGEM PLUVIAL URBANA</t>
    </r>
  </si>
  <si>
    <t>DRENAGEM:</t>
  </si>
  <si>
    <t>Carga, Transporte e Descarga de Entulho</t>
  </si>
  <si>
    <t>Escavação de Mat. p/ Base</t>
  </si>
  <si>
    <t>Transp. Mat. de Jazida p/ Base</t>
  </si>
  <si>
    <t xml:space="preserve">Espessura da calçada existente = </t>
  </si>
  <si>
    <t>QUANTIFICAÇÃO DE RECOMPOSIÇÃO DE PAVIMENTO:</t>
  </si>
  <si>
    <t>QUANTIFICAÇÃO DE CORTE E RECOMPOSIÇÃO DE CALÇADA:</t>
  </si>
  <si>
    <t>Espessura da base =</t>
  </si>
  <si>
    <t>DMT CM-30 =</t>
  </si>
  <si>
    <t>Peso específico CM-30 =</t>
  </si>
  <si>
    <t>Consumo de CM-30 =</t>
  </si>
  <si>
    <r>
      <t xml:space="preserve">SERVIÇO: </t>
    </r>
    <r>
      <rPr>
        <b/>
        <sz val="10"/>
        <rFont val="Arial Narrow"/>
        <family val="2"/>
      </rPr>
      <t>RECOMPOSIÇÃO DE PAVIMENTO ASFÁLTICO</t>
    </r>
  </si>
  <si>
    <t>TOTAL DA RECOMPOSIÇÃO POR METRO QUADRADO</t>
  </si>
  <si>
    <t>COMPO 03</t>
  </si>
  <si>
    <t>QUANTIFICAÇÃO DE CORTE E RECOMPOSIÇÃO DE MEIO-FIO COM SARJETA:</t>
  </si>
  <si>
    <t xml:space="preserve">Seção do meio-fio com sarjeta exist. = </t>
  </si>
  <si>
    <t>Comprimento a Recompor</t>
  </si>
  <si>
    <t>INVESTIMENTO</t>
  </si>
  <si>
    <t>CONVÊNIO</t>
  </si>
  <si>
    <t>CONTRAPARTIDA</t>
  </si>
  <si>
    <t>COEFICIENTE</t>
  </si>
  <si>
    <t>Altura do PV</t>
  </si>
  <si>
    <t>TCC 01 - Avenida Libindo F. Leite</t>
  </si>
  <si>
    <t>120 DIAS</t>
  </si>
  <si>
    <t>150 DIAS</t>
  </si>
  <si>
    <t>3.03.007</t>
  </si>
  <si>
    <t>Caixa de passagem 2,32x2,32 m em alvenaria de tijolo comum de 1 vez assentada e revestida internamente com argamassa de cimento e areia 1:3, lastro de brita 15 cm, berço 18 cm em concreto Fck=15 MPa, laje de 12 cm em concreto armado fck=15 Mpa</t>
  </si>
  <si>
    <t>Transporte comercial com caminhão carroceria 9 T, rodovia pavimentada - TUBOS DE CONCRETO</t>
  </si>
  <si>
    <t>4431 INSUMOS</t>
  </si>
  <si>
    <t>180 DIAS</t>
  </si>
  <si>
    <t>7725 INS</t>
  </si>
  <si>
    <t>7781 INS</t>
  </si>
  <si>
    <t>Boca de lobo simples em alvenaria de tijolo maciço e grelha de aço carbono abertura de engolimento 50x105 cm impermeabilizada com argamassa rígida, caimento de concreto no entorno prof. = 90 cm</t>
  </si>
  <si>
    <t>Boca de lobo dupla em alvenaria de tijolo maciço e grelha de aço carbono abertura de engolimento 50x105 cm impermeabilizada com argamassa rígida, caimento de concreto no entorno prof. = 90 cm</t>
  </si>
  <si>
    <t>Meio-fio com sarjeta, concreto fck=20 Mpa, seção 615 cm², inclusive pintura a cal em duas demãos</t>
  </si>
  <si>
    <t>DATA: SETEMBRO/2014</t>
  </si>
  <si>
    <t>Alvenaria em tijolo cerâmico maciço 5x10x20 cm 1 1/2 vez (espessura 20 cm), assentado com argamassa traço 1:2:8 (cimento, cal e areia)</t>
  </si>
  <si>
    <t xml:space="preserve">Emboço para recebimento de cerâmica, em argamassa traço 1:2:8, preparo mecânico com betoneira 400L, aplicado manualmente em faces internas de paredes de ambientes com área maior que 10 m², espessura de 20 mm, com execução de taliscas </t>
  </si>
  <si>
    <t>73942/002</t>
  </si>
  <si>
    <t>Armação de aço CA 60, diâmetro 3,4 à 6 mm - fornecimento, corte, perda 10%, dobra e colocação</t>
  </si>
  <si>
    <t>kg</t>
  </si>
  <si>
    <t>Escavação manual de vala em material de 1ª categoria até 1,50 m, excluindo esgotamento / escoramento</t>
  </si>
  <si>
    <t>74015/001</t>
  </si>
  <si>
    <t>Reaterro e compactação mecânica de vala com compactador manual tipo soquete vibratório</t>
  </si>
  <si>
    <t>73972/002</t>
  </si>
  <si>
    <t>Concreto fck=20 Mpa, virado em betoneira, sem lançamento</t>
  </si>
  <si>
    <t>74164/004</t>
  </si>
  <si>
    <t>Lastro de brita</t>
  </si>
  <si>
    <t>74254/002</t>
  </si>
  <si>
    <t>Armação de aço CA 50, diâmetro 6,30 (1/4") à 12,5 mm (1/2") - fornecimento, corte, perda 10%, dobra e colocação</t>
  </si>
  <si>
    <t>5622</t>
  </si>
  <si>
    <t>73406</t>
  </si>
  <si>
    <t>Regularização e compactação manual de terreno com soquete</t>
  </si>
  <si>
    <t>Concreto fck=15 Mpa (1:2,5:3), incluindo preparo mecânico, lançamento e adensamento</t>
  </si>
  <si>
    <t>Lançamento/aplicação  manual de concreto em fundações</t>
  </si>
  <si>
    <t>CAIXA DE PASSAGEM 2,32 x 2,32 m - UN</t>
  </si>
  <si>
    <r>
      <t xml:space="preserve">SERVIÇO: </t>
    </r>
    <r>
      <rPr>
        <b/>
        <sz val="10"/>
        <rFont val="Arial Narrow"/>
        <family val="2"/>
      </rPr>
      <t>CAIXA DE PASSAGEM</t>
    </r>
  </si>
  <si>
    <t>SINAPI: JULHO/2014</t>
  </si>
  <si>
    <r>
      <t xml:space="preserve">SERVIÇO: </t>
    </r>
    <r>
      <rPr>
        <b/>
        <sz val="10"/>
        <rFont val="Arial Narrow"/>
        <family val="2"/>
      </rPr>
      <t>CHAMINÉ (PESCOÇO) PARA POÇO DE VISITA</t>
    </r>
  </si>
  <si>
    <t>CHAMINÉ (PESCOÇO) EM ALVENARIA D=60 CM - M</t>
  </si>
  <si>
    <t>Forma tábua para concreto fundação, com reaproveitamento 2 vezes</t>
  </si>
  <si>
    <t>Chapisco aplicados tanto em pilares e vigas de concreto como em alvenarias de paredes internas, com colher de pedreiro, argamassa traço 1:3 com preparo em betoneira 400L</t>
  </si>
  <si>
    <t>COMPO 01</t>
  </si>
  <si>
    <t>COMPO 04</t>
  </si>
  <si>
    <t>COMPOSIÇÃO 02 - CHAMINÉ</t>
  </si>
  <si>
    <t>Base de solo estabilizado sem mistura, compactação 100% proctor normal, exclusive escavação, carga e transporte do silo</t>
  </si>
  <si>
    <t>COMPO 08</t>
  </si>
  <si>
    <t>3.03.002.00</t>
  </si>
  <si>
    <t>3.03.002.01</t>
  </si>
  <si>
    <t>3.03.002.02</t>
  </si>
  <si>
    <t>3.03.002.03</t>
  </si>
  <si>
    <t>3.03.002.04</t>
  </si>
  <si>
    <t>3.03.004.00</t>
  </si>
  <si>
    <t>3.03.004.01</t>
  </si>
  <si>
    <t>3.03.004.02</t>
  </si>
  <si>
    <t>3.03.004.03</t>
  </si>
  <si>
    <t>3.03.004.04</t>
  </si>
  <si>
    <t>3.03.004.05</t>
  </si>
  <si>
    <t>3.03.004.06</t>
  </si>
  <si>
    <t>3.03.004.07</t>
  </si>
  <si>
    <t>3.03.004.08</t>
  </si>
  <si>
    <t>3.03.004.09</t>
  </si>
  <si>
    <t>3.03.004.10</t>
  </si>
  <si>
    <t>3.03.004.11</t>
  </si>
  <si>
    <t>3.03.004.12</t>
  </si>
  <si>
    <t>3.03.004.13</t>
  </si>
  <si>
    <t>3.04.005.00</t>
  </si>
  <si>
    <t>3.04.005.01</t>
  </si>
  <si>
    <t>3.04.005.02</t>
  </si>
  <si>
    <t>3.04.005.03</t>
  </si>
  <si>
    <t>3.04.005.04</t>
  </si>
  <si>
    <t>3.04.005.05</t>
  </si>
  <si>
    <t>3.04.005.06</t>
  </si>
  <si>
    <t>3.04.005.07</t>
  </si>
  <si>
    <t>3.04.005.08</t>
  </si>
  <si>
    <t>3.04.005.09</t>
  </si>
  <si>
    <t>COMPO 10</t>
  </si>
  <si>
    <t>5.02.001.00</t>
  </si>
  <si>
    <t>5.02.001.01</t>
  </si>
  <si>
    <t>5.02.001.02</t>
  </si>
  <si>
    <t>5.02.001.03</t>
  </si>
  <si>
    <t>5.02.001.04</t>
  </si>
  <si>
    <t>5.02.001.05</t>
  </si>
  <si>
    <t>5.02.001.06</t>
  </si>
  <si>
    <t>5.02.001.07</t>
  </si>
  <si>
    <t>5.02.001.08</t>
  </si>
  <si>
    <t>5.02.003.00</t>
  </si>
  <si>
    <t>5.02.003.01</t>
  </si>
  <si>
    <t>5.02.003.02</t>
  </si>
  <si>
    <t>5.02.003.03</t>
  </si>
  <si>
    <t>5.02.003.04</t>
  </si>
  <si>
    <t>5.02.003.05</t>
  </si>
  <si>
    <t>5.02.003.06</t>
  </si>
  <si>
    <t>5.02.003.07</t>
  </si>
  <si>
    <t>83715</t>
  </si>
  <si>
    <t>Chaminé para poço de visita em alvenaria, exclusos tampão e anel</t>
  </si>
  <si>
    <t>COMPO 02</t>
  </si>
  <si>
    <t>1A0185001 SICRO 2</t>
  </si>
  <si>
    <t>Confecção de placa de sinalização viária semi-refletiva</t>
  </si>
  <si>
    <t>COMPOSIÇÃO 03 - CAIXA DE PASSAGEM</t>
  </si>
  <si>
    <t>COMPOSIÇÃO 06 - RECOMPOSIÇÃO DE PAVIMENTO ASFÁLTICO</t>
  </si>
  <si>
    <t>COMPOSIÇÃO 10 - PLACA DE SINALIZAÇÃO DE ADVERTÊNCIA E REGULAMENTAÇÃO</t>
  </si>
  <si>
    <t>COMPOSIÇÃO 11 - POSTE PARA FIXAÇÃO DE PLACA DE INDICAÇÃO DE LOGRADOUROS</t>
  </si>
  <si>
    <t>COMPO 11</t>
  </si>
  <si>
    <t>88309</t>
  </si>
  <si>
    <t>Pedreiro com encargos complementares</t>
  </si>
  <si>
    <t>88316</t>
  </si>
  <si>
    <t>Servente com encargos complementares</t>
  </si>
  <si>
    <t>LOCAL: RUA GARÇA, RUA CURIÓ, RUA SABIÁ E RUA ADJALMO SALDANHA</t>
  </si>
  <si>
    <t>MUNICÍPIO: SETE QUEDAS/MS</t>
  </si>
  <si>
    <t>BDI SERVIÇOS: 25,00%</t>
  </si>
  <si>
    <t>BDI INSUMOS: 10,50%</t>
  </si>
  <si>
    <t>97</t>
  </si>
  <si>
    <t>478</t>
  </si>
  <si>
    <t>DATA: FEVEREIRO/2015</t>
  </si>
  <si>
    <t>SINAPI: JANEIRO/2015</t>
  </si>
  <si>
    <t>72840</t>
  </si>
  <si>
    <t>SICRO 2: NOVEMBRO/2014</t>
  </si>
  <si>
    <t>LOCAL: RUA CANÁRIO, RUA MACUCO, RUA SABIÁ, RUA CURIÓ, RUA ANDORINHA, RUA TUIUIU, RUA BEIJA FLOR, RUA GARÇA, RUA ADJALMO SALDANHA, RUA 21 DE ABRIL E AVENIDA CONCORD</t>
  </si>
  <si>
    <t>Tubo de concreto armado PA-1 DN 800 mm = Comprimento do trecho - área interna do PV (2,00 m)</t>
  </si>
  <si>
    <t>Tubo de concreto armado PA-1 DN 600 mm = Comprimento do trecho - área interna do PV (2,00 m)</t>
  </si>
  <si>
    <t>Assentamento de tubo de concreto armado PA-1 DN 800 mm = Comprimento do trecho - área interna do PV (2,00 m)</t>
  </si>
  <si>
    <t>Assentamento de tubo de concreto armado PA-1 DN 600 mm = Comprimento do trecho - área interna do PV (2,00 m)</t>
  </si>
  <si>
    <t>Tubo de concreto simples OS-1 DN 400 mm = Comprimento dos ramais (bigodes)</t>
  </si>
  <si>
    <t>Assentamento de tubo de concreto simples OS-1 DN 400 mm = Comprimento dos ramais (bigodes)</t>
  </si>
  <si>
    <t>Transporte de tubos de concreto = somatório do peso linear dos tubos x distância de transporte</t>
  </si>
  <si>
    <t>Poço de visita 2,32x2,32 m em alvenaria = quantidades locada na planta baixa da drenagem</t>
  </si>
  <si>
    <t>Chaminé para poço de visita em alvenaria = Altura do cobrimento mínimo (55,00 cm)</t>
  </si>
  <si>
    <t>Tampão de ferro fundido D=60 cm = quantidade de poços de visita</t>
  </si>
  <si>
    <t>Boca de lobo simples = quantidade locada na planta baixa da drenagem</t>
  </si>
  <si>
    <t>Boca de lobo dupla = quantidade locada na planta baixa da drenagem</t>
  </si>
  <si>
    <t>DESCRIÇÃO DO MÉTODO DE CÁLCULO DA QUANTIFICAÇÃO DOS SERVIÇOS DE DRENAGEM PLUVIAL:</t>
  </si>
  <si>
    <t>VOLUME</t>
  </si>
  <si>
    <t>ESTACA</t>
  </si>
  <si>
    <t>RUA CANÁRIO</t>
  </si>
  <si>
    <t>DISTÂNCIA</t>
  </si>
  <si>
    <t>ÁREAS</t>
  </si>
  <si>
    <t>CORTE</t>
  </si>
  <si>
    <t>ATERRO</t>
  </si>
  <si>
    <t>VOLUME ACUMULADO</t>
  </si>
  <si>
    <t>RUA MACUCO</t>
  </si>
  <si>
    <t>RUA SABIÁ</t>
  </si>
  <si>
    <t>RUA CURIÓ</t>
  </si>
  <si>
    <t>RUA ANDORINHA</t>
  </si>
  <si>
    <t>3+15,15</t>
  </si>
  <si>
    <t>1+10,00</t>
  </si>
  <si>
    <t>1+7,70</t>
  </si>
  <si>
    <t>2+8,35</t>
  </si>
  <si>
    <t>3+4,00</t>
  </si>
  <si>
    <t>4+11,55</t>
  </si>
  <si>
    <t>RUA TUIUIU</t>
  </si>
  <si>
    <t>PLANILHA DE CUBAÇÃO</t>
  </si>
  <si>
    <t>4+6,50</t>
  </si>
  <si>
    <t>RUA BEIJA-FLOR</t>
  </si>
  <si>
    <t>5+15,00</t>
  </si>
  <si>
    <t>9+4,80</t>
  </si>
  <si>
    <t>RUA GARÇA</t>
  </si>
  <si>
    <t>15+8,60</t>
  </si>
  <si>
    <t>16+16,75</t>
  </si>
  <si>
    <t>17+9,00</t>
  </si>
  <si>
    <t>21+9,60</t>
  </si>
  <si>
    <t>RUA ADJALMO SALDANHA</t>
  </si>
  <si>
    <t>RUA 21 DE ABRIL (TRECHO 1)</t>
  </si>
  <si>
    <t>3+2,60</t>
  </si>
  <si>
    <t>7+8,30</t>
  </si>
  <si>
    <t>RUA 21 DE ABRIL (TRECHO 2)</t>
  </si>
  <si>
    <t>AVENIDA CONCORD</t>
  </si>
  <si>
    <t>DATA: MAIO/2015</t>
  </si>
  <si>
    <t>1+14,30</t>
  </si>
  <si>
    <t>2+1,10</t>
  </si>
  <si>
    <t>Pintura de ligação com emulsão RR-1C</t>
  </si>
  <si>
    <t>90085</t>
  </si>
  <si>
    <t>Escavação mecanizada de vala com profundidade maior que 1,50 m até 3,00 m, com escavadeira hidráulica (cpacidade da caçamba: 0,80 m³) / potência: 111 HP), largura de 1,50 m à 2,50 m em solo de 1ª categoria, em vias urbanas</t>
  </si>
  <si>
    <t>TR 01 - Rua Octaviano dos Santos</t>
  </si>
  <si>
    <t xml:space="preserve">TR 02 - </t>
  </si>
  <si>
    <t xml:space="preserve">TR 03 - </t>
  </si>
  <si>
    <t xml:space="preserve">TR 04 - </t>
  </si>
  <si>
    <t xml:space="preserve">TR 06 - </t>
  </si>
  <si>
    <t>93358</t>
  </si>
  <si>
    <t>DATA: NOV/2017</t>
  </si>
  <si>
    <t>96995</t>
  </si>
  <si>
    <t>93380</t>
  </si>
  <si>
    <t>92808</t>
  </si>
  <si>
    <t>92811</t>
  </si>
  <si>
    <t>BDI SERVIÇOS: 30,00% (DESONERADO)</t>
  </si>
  <si>
    <t>Base de solo-brita (50/50), mistura em usina, compactacäo 100%.</t>
  </si>
  <si>
    <t>72887</t>
  </si>
  <si>
    <t>93177</t>
  </si>
  <si>
    <t>Demolicao de concreto simples (meio-fio)</t>
  </si>
  <si>
    <t>LOCAL: RUA OCTAVIANO DOS SANTOS E AVENIDA PRESIDENTE VARGAS</t>
  </si>
  <si>
    <t>MUNICÍPIO: IGUATEMI/MS</t>
  </si>
  <si>
    <t>REDE DE DRENAGEM:82,00 M</t>
  </si>
  <si>
    <t>ÁREA A PAVIMENTAR: 98,40 M²</t>
  </si>
  <si>
    <t>DATA: JANEIRO/2018</t>
  </si>
  <si>
    <t>SINAPI: NOVEMBRO/2017</t>
  </si>
  <si>
    <t>2.01.003</t>
  </si>
  <si>
    <t>2.01.004</t>
  </si>
  <si>
    <t>2.01.005</t>
  </si>
  <si>
    <t>2.01.006</t>
  </si>
  <si>
    <t>2.01.007</t>
  </si>
  <si>
    <t>2.02.005</t>
  </si>
  <si>
    <t>2.03.000</t>
  </si>
  <si>
    <t>2.03.001</t>
  </si>
  <si>
    <t>2.03.002</t>
  </si>
  <si>
    <t>2.03.003</t>
  </si>
  <si>
    <t>2.03.004</t>
  </si>
  <si>
    <t>2.03.005</t>
  </si>
  <si>
    <r>
      <t xml:space="preserve">OBRA/SERVIÇO: </t>
    </r>
    <r>
      <rPr>
        <b/>
        <sz val="10"/>
        <rFont val="Arial Narrow"/>
        <family val="2"/>
      </rPr>
      <t xml:space="preserve">DRENAGEM PLUVIAL URBANA E RECOMPOSIÇÃO DA PAVIMENTAÇÃO ASFÁLTICA </t>
    </r>
  </si>
  <si>
    <t>95994</t>
  </si>
  <si>
    <t xml:space="preserve">Consatrucao de pavimento com aplicacao de concreto betuminoso usinado a quente (CBUQ),binder, com espessura de 4,0 cm exclusive transporte. </t>
  </si>
  <si>
    <t>94116</t>
  </si>
  <si>
    <t>2.02.006</t>
  </si>
  <si>
    <t>Demolicao de pavimento asfáltico com a utilizacao de martelo perfurador,espessura de até 15 cm, exclusive carga e trnasporte.</t>
  </si>
  <si>
    <t>Transporte de brita</t>
  </si>
  <si>
    <t>83356</t>
  </si>
  <si>
    <t>3.02.008</t>
  </si>
  <si>
    <t>Elaboração de projeto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</si>
</sst>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[$-416]mmmm\-yy;@"/>
    <numFmt numFmtId="175" formatCode="#,##0.000_);\(#,##0.000\)"/>
    <numFmt numFmtId="176" formatCode="_(* #,##0.00000000000000000_);_(* \(#,##0.00000000000000000\);_(* &quot;-&quot;??_);_(@_)"/>
    <numFmt numFmtId="177" formatCode="#,##0.000_);[Red]\(#,##0.000\)"/>
    <numFmt numFmtId="178" formatCode="_-* #,##0.000_-;\-* #,##0.000_-;_-* &quot;-&quot;???_-;_-@_-"/>
    <numFmt numFmtId="179" formatCode="#,##0.00_ ;\-#,##0.00\ "/>
    <numFmt numFmtId="180" formatCode="_(* #,##0.000_);_(* \(#,##0.000\);_(* &quot;-&quot;??_);_(@_)"/>
    <numFmt numFmtId="181" formatCode="_(* #,##0.0000_);_(* \(#,##0.0000\);_(* &quot;-&quot;??_);_(@_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_-* #,##0.000000000000000000_-;\-* #,##0.000000000000000000_-;_-* &quot;-&quot;??????????????????_-;_-@_-"/>
    <numFmt numFmtId="194" formatCode="_(* #,##0.0000000000000000_);_(* \(#,##0.0000000000000000\);_(* &quot;-&quot;??_);_(@_)"/>
    <numFmt numFmtId="195" formatCode="_(* #,##0.000000000000000_);_(* \(#,##0.000000000000000\);_(* &quot;-&quot;??_);_(@_)"/>
    <numFmt numFmtId="196" formatCode="_(* #,##0.00000000000000_);_(* \(#,##0.00000000000000\);_(* &quot;-&quot;??_);_(@_)"/>
    <numFmt numFmtId="197" formatCode="_(* #,##0.0000000000000_);_(* \(#,##0.0000000000000\);_(* &quot;-&quot;??_);_(@_)"/>
    <numFmt numFmtId="198" formatCode="_(* #,##0.000000000000_);_(* \(#,##0.000000000000\);_(* &quot;-&quot;??_);_(@_)"/>
    <numFmt numFmtId="199" formatCode="_(* #,##0.00000000000_);_(* \(#,##0.00000000000\);_(* &quot;-&quot;??_);_(@_)"/>
    <numFmt numFmtId="200" formatCode="_(* #,##0.0000000000_);_(* \(#,##0.0000000000\);_(* &quot;-&quot;??_);_(@_)"/>
    <numFmt numFmtId="201" formatCode="_(* #,##0.000000000_);_(* \(#,##0.000000000\);_(* &quot;-&quot;??_);_(@_)"/>
    <numFmt numFmtId="202" formatCode="_(* #,##0.00000000_);_(* \(#,##0.00000000\);_(* &quot;-&quot;??_);_(@_)"/>
    <numFmt numFmtId="203" formatCode="_(* #,##0.0000000_);_(* \(#,##0.0000000\);_(* &quot;-&quot;??_);_(@_)"/>
    <numFmt numFmtId="204" formatCode="_(* #,##0.000000_);_(* \(#,##0.000000\);_(* &quot;-&quot;??_);_(@_)"/>
    <numFmt numFmtId="205" formatCode="_(* #,##0.00000_);_(* \(#,##0.00000\);_(* &quot;-&quot;??_);_(@_)"/>
    <numFmt numFmtId="206" formatCode="_(* #,##0.0_);_(* \(#,##0.0\);_(* &quot;-&quot;??_);_(@_)"/>
    <numFmt numFmtId="207" formatCode="_(* #,##0_);_(* \(#,##0\);_(* &quot;-&quot;??_);_(@_)"/>
    <numFmt numFmtId="208" formatCode="_(* #,##0.000000000000000000_);_(* \(#,##0.000000000000000000\);_(* &quot;-&quot;??_);_(@_)"/>
    <numFmt numFmtId="209" formatCode="_(* #,##0.0000000000000000000_);_(* \(#,##0.0000000000000000000\);_(* &quot;-&quot;??_);_(@_)"/>
    <numFmt numFmtId="210" formatCode="0.000%"/>
    <numFmt numFmtId="211" formatCode="0.0000%"/>
    <numFmt numFmtId="212" formatCode="_-* #,##0.0000_-;\-* #,##0.0000_-;_-* &quot;-&quot;????_-;_-@_-"/>
    <numFmt numFmtId="213" formatCode="#,##0.000_ ;\-#,##0.000\ "/>
    <numFmt numFmtId="214" formatCode="_-* #,##0.000_-;\-* #,##0.000_-;_-* &quot;-&quot;??_-;_-@_-"/>
    <numFmt numFmtId="215" formatCode="_-* #,##0.0000_-;\-* #,##0.0000_-;_-* &quot;-&quot;??_-;_-@_-"/>
    <numFmt numFmtId="216" formatCode="_-* #,##0.0000000000000000_-;\-* #,##0.0000000000000000_-;_-* &quot;-&quot;????????????????_-;_-@_-"/>
    <numFmt numFmtId="217" formatCode="#,##0.000"/>
    <numFmt numFmtId="218" formatCode="0.00000%"/>
    <numFmt numFmtId="219" formatCode="[$-416]dddd\,\ d&quot; de &quot;mmmm&quot; de &quot;yyyy"/>
    <numFmt numFmtId="220" formatCode="_-* #,##0.00_-;\-* #,##0.00_-;_-* &quot;-&quot;???_-;_-@_-"/>
    <numFmt numFmtId="221" formatCode="#,##0.0"/>
    <numFmt numFmtId="222" formatCode="0.000"/>
    <numFmt numFmtId="223" formatCode="0_ ;\-0\ "/>
  </numFmts>
  <fonts count="53">
    <font>
      <sz val="10"/>
      <name val="Arial"/>
      <family val="0"/>
    </font>
    <font>
      <sz val="8"/>
      <name val="Arial"/>
      <family val="2"/>
    </font>
    <font>
      <sz val="10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hair">
        <color indexed="55"/>
      </right>
      <top style="thin"/>
      <bottom style="hair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49" applyNumberFormat="1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71" fontId="4" fillId="0" borderId="0" xfId="65" applyFont="1" applyFill="1" applyBorder="1" applyAlignment="1">
      <alignment vertical="center" wrapText="1"/>
    </xf>
    <xf numFmtId="171" fontId="4" fillId="0" borderId="0" xfId="65" applyFont="1" applyFill="1" applyBorder="1" applyAlignment="1">
      <alignment horizontal="left" vertical="center" wrapText="1"/>
    </xf>
    <xf numFmtId="10" fontId="4" fillId="0" borderId="0" xfId="65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71" fontId="3" fillId="0" borderId="10" xfId="65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71" fontId="4" fillId="0" borderId="10" xfId="65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171" fontId="3" fillId="0" borderId="0" xfId="65" applyFont="1" applyFill="1" applyBorder="1" applyAlignment="1">
      <alignment horizontal="center" vertical="center" wrapText="1"/>
    </xf>
    <xf numFmtId="171" fontId="4" fillId="0" borderId="10" xfId="65" applyNumberFormat="1" applyFont="1" applyFill="1" applyBorder="1" applyAlignment="1">
      <alignment horizontal="justify" vertical="center" wrapText="1"/>
    </xf>
    <xf numFmtId="0" fontId="4" fillId="0" borderId="10" xfId="65" applyNumberFormat="1" applyFont="1" applyFill="1" applyBorder="1" applyAlignment="1">
      <alignment horizontal="center" vertical="center" wrapText="1"/>
    </xf>
    <xf numFmtId="49" fontId="4" fillId="0" borderId="10" xfId="65" applyNumberFormat="1" applyFont="1" applyFill="1" applyBorder="1" applyAlignment="1">
      <alignment horizontal="justify" vertical="center" wrapText="1"/>
    </xf>
    <xf numFmtId="171" fontId="4" fillId="0" borderId="0" xfId="65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2" xfId="65" applyFont="1" applyFill="1" applyBorder="1" applyAlignment="1">
      <alignment horizontal="center" vertical="center" wrapText="1"/>
    </xf>
    <xf numFmtId="171" fontId="4" fillId="0" borderId="12" xfId="65" applyFont="1" applyFill="1" applyBorder="1" applyAlignment="1">
      <alignment vertical="center" wrapText="1"/>
    </xf>
    <xf numFmtId="171" fontId="4" fillId="0" borderId="13" xfId="65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171" fontId="4" fillId="0" borderId="10" xfId="65" applyFont="1" applyFill="1" applyBorder="1" applyAlignment="1">
      <alignment horizontal="center" vertical="center"/>
    </xf>
    <xf numFmtId="171" fontId="4" fillId="0" borderId="10" xfId="65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 wrapText="1"/>
    </xf>
    <xf numFmtId="49" fontId="4" fillId="0" borderId="10" xfId="6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1" fontId="4" fillId="0" borderId="10" xfId="65" applyFont="1" applyBorder="1" applyAlignment="1">
      <alignment vertical="center" wrapText="1"/>
    </xf>
    <xf numFmtId="10" fontId="4" fillId="0" borderId="10" xfId="65" applyNumberFormat="1" applyFont="1" applyBorder="1" applyAlignment="1">
      <alignment vertical="center" wrapText="1"/>
    </xf>
    <xf numFmtId="171" fontId="4" fillId="0" borderId="10" xfId="0" applyNumberFormat="1" applyFont="1" applyBorder="1" applyAlignment="1">
      <alignment vertical="center" wrapText="1"/>
    </xf>
    <xf numFmtId="171" fontId="4" fillId="0" borderId="0" xfId="0" applyNumberFormat="1" applyFont="1" applyAlignment="1">
      <alignment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4" fillId="0" borderId="10" xfId="65" applyNumberFormat="1" applyFont="1" applyFill="1" applyBorder="1" applyAlignment="1">
      <alignment vertical="center" wrapText="1"/>
    </xf>
    <xf numFmtId="10" fontId="4" fillId="0" borderId="10" xfId="65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vertical="center" wrapText="1"/>
    </xf>
    <xf numFmtId="171" fontId="6" fillId="0" borderId="0" xfId="0" applyNumberFormat="1" applyFont="1" applyBorder="1" applyAlignment="1">
      <alignment vertical="center" wrapText="1"/>
    </xf>
    <xf numFmtId="171" fontId="7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1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71" fontId="6" fillId="0" borderId="0" xfId="0" applyNumberFormat="1" applyFont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1" fontId="7" fillId="0" borderId="0" xfId="0" applyNumberFormat="1" applyFont="1" applyBorder="1" applyAlignment="1">
      <alignment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40" fontId="11" fillId="33" borderId="10" xfId="55" applyFont="1" applyFill="1" applyBorder="1" applyAlignment="1" applyProtection="1">
      <alignment horizontal="center" vertical="center"/>
      <protection/>
    </xf>
    <xf numFmtId="177" fontId="11" fillId="33" borderId="10" xfId="55" applyNumberFormat="1" applyFont="1" applyFill="1" applyBorder="1" applyAlignment="1" applyProtection="1">
      <alignment horizontal="center" vertical="center"/>
      <protection/>
    </xf>
    <xf numFmtId="40" fontId="3" fillId="33" borderId="10" xfId="48" applyNumberFormat="1" applyFont="1" applyFill="1" applyBorder="1" applyAlignment="1">
      <alignment horizontal="center" vertical="center"/>
      <protection/>
    </xf>
    <xf numFmtId="40" fontId="11" fillId="33" borderId="10" xfId="48" applyNumberFormat="1" applyFont="1" applyFill="1" applyBorder="1" applyAlignment="1">
      <alignment horizontal="center" vertical="center"/>
      <protection/>
    </xf>
    <xf numFmtId="2" fontId="4" fillId="33" borderId="10" xfId="56" applyNumberFormat="1" applyFont="1" applyFill="1" applyBorder="1" applyAlignment="1" applyProtection="1">
      <alignment horizontal="left" vertical="center"/>
      <protection/>
    </xf>
    <xf numFmtId="2" fontId="4" fillId="33" borderId="10" xfId="56" applyNumberFormat="1" applyFont="1" applyFill="1" applyBorder="1" applyAlignment="1" applyProtection="1">
      <alignment horizontal="right" vertical="center"/>
      <protection/>
    </xf>
    <xf numFmtId="175" fontId="4" fillId="33" borderId="10" xfId="50" applyNumberFormat="1" applyFont="1" applyFill="1" applyBorder="1" applyAlignment="1" applyProtection="1">
      <alignment horizontal="right" vertical="center"/>
      <protection/>
    </xf>
    <xf numFmtId="40" fontId="4" fillId="33" borderId="10" xfId="50" applyNumberFormat="1" applyFont="1" applyFill="1" applyBorder="1" applyAlignment="1">
      <alignment horizontal="right" vertical="center"/>
      <protection/>
    </xf>
    <xf numFmtId="43" fontId="4" fillId="0" borderId="10" xfId="55" applyNumberFormat="1" applyFont="1" applyFill="1" applyBorder="1" applyAlignment="1" applyProtection="1">
      <alignment horizontal="right" vertical="center"/>
      <protection/>
    </xf>
    <xf numFmtId="43" fontId="4" fillId="33" borderId="10" xfId="55" applyNumberFormat="1" applyFont="1" applyFill="1" applyBorder="1" applyAlignment="1" applyProtection="1">
      <alignment horizontal="right" vertical="center"/>
      <protection/>
    </xf>
    <xf numFmtId="178" fontId="4" fillId="33" borderId="10" xfId="50" applyNumberFormat="1" applyFont="1" applyFill="1" applyBorder="1" applyAlignment="1" applyProtection="1">
      <alignment horizontal="right" vertical="center"/>
      <protection/>
    </xf>
    <xf numFmtId="178" fontId="4" fillId="33" borderId="10" xfId="56" applyNumberFormat="1" applyFont="1" applyFill="1" applyBorder="1" applyAlignment="1" applyProtection="1">
      <alignment horizontal="right" vertical="center"/>
      <protection/>
    </xf>
    <xf numFmtId="40" fontId="4" fillId="0" borderId="10" xfId="55" applyFont="1" applyFill="1" applyBorder="1" applyAlignment="1" applyProtection="1">
      <alignment horizontal="right" vertical="center"/>
      <protection/>
    </xf>
    <xf numFmtId="40" fontId="4" fillId="33" borderId="10" xfId="55" applyFont="1" applyFill="1" applyBorder="1" applyAlignment="1" applyProtection="1">
      <alignment horizontal="right" vertical="center"/>
      <protection/>
    </xf>
    <xf numFmtId="40" fontId="4" fillId="33" borderId="10" xfId="50" applyNumberFormat="1" applyFont="1" applyFill="1" applyBorder="1" applyAlignment="1" applyProtection="1">
      <alignment horizontal="right" vertical="center"/>
      <protection/>
    </xf>
    <xf numFmtId="177" fontId="4" fillId="33" borderId="10" xfId="56" applyNumberFormat="1" applyFont="1" applyFill="1" applyBorder="1" applyAlignment="1" applyProtection="1">
      <alignment horizontal="right" vertical="center"/>
      <protection/>
    </xf>
    <xf numFmtId="40" fontId="3" fillId="33" borderId="10" xfId="50" applyNumberFormat="1" applyFont="1" applyFill="1" applyBorder="1" applyAlignment="1">
      <alignment horizontal="right" vertical="center"/>
      <protection/>
    </xf>
    <xf numFmtId="37" fontId="0" fillId="33" borderId="0" xfId="55" applyNumberFormat="1" applyFont="1" applyFill="1" applyBorder="1" applyAlignment="1">
      <alignment vertical="center"/>
    </xf>
    <xf numFmtId="40" fontId="0" fillId="33" borderId="0" xfId="48" applyNumberFormat="1" applyFont="1" applyFill="1" applyBorder="1" applyAlignment="1">
      <alignment vertical="center"/>
      <protection/>
    </xf>
    <xf numFmtId="40" fontId="3" fillId="33" borderId="0" xfId="50" applyNumberFormat="1" applyFont="1" applyFill="1" applyBorder="1" applyAlignment="1">
      <alignment horizontal="right" vertical="center"/>
      <protection/>
    </xf>
    <xf numFmtId="40" fontId="4" fillId="33" borderId="0" xfId="50" applyNumberFormat="1" applyFont="1" applyFill="1" applyBorder="1" applyAlignment="1">
      <alignment horizontal="right" vertical="center"/>
      <protection/>
    </xf>
    <xf numFmtId="40" fontId="4" fillId="33" borderId="0" xfId="50" applyNumberFormat="1" applyFont="1" applyFill="1" applyBorder="1" applyAlignment="1">
      <alignment horizontal="left" vertical="center"/>
      <protection/>
    </xf>
    <xf numFmtId="175" fontId="9" fillId="0" borderId="0" xfId="48" applyFont="1" applyBorder="1" applyAlignment="1">
      <alignment vertical="center"/>
      <protection/>
    </xf>
    <xf numFmtId="175" fontId="9" fillId="0" borderId="14" xfId="48" applyFont="1" applyBorder="1" applyAlignment="1">
      <alignment vertical="center"/>
      <protection/>
    </xf>
    <xf numFmtId="179" fontId="11" fillId="33" borderId="10" xfId="48" applyNumberFormat="1" applyFont="1" applyFill="1" applyBorder="1" applyAlignment="1">
      <alignment horizontal="center" vertical="center" wrapText="1"/>
      <protection/>
    </xf>
    <xf numFmtId="179" fontId="4" fillId="33" borderId="10" xfId="48" applyNumberFormat="1" applyFont="1" applyFill="1" applyBorder="1" applyAlignment="1">
      <alignment vertical="center" wrapText="1"/>
      <protection/>
    </xf>
    <xf numFmtId="171" fontId="3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vertical="center" wrapText="1"/>
    </xf>
    <xf numFmtId="10" fontId="4" fillId="0" borderId="0" xfId="65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71" fontId="4" fillId="0" borderId="11" xfId="65" applyFont="1" applyFill="1" applyBorder="1" applyAlignment="1">
      <alignment horizontal="center" vertical="center" wrapText="1"/>
    </xf>
    <xf numFmtId="171" fontId="4" fillId="0" borderId="11" xfId="65" applyFont="1" applyFill="1" applyBorder="1" applyAlignment="1">
      <alignment vertical="center" wrapText="1"/>
    </xf>
    <xf numFmtId="171" fontId="4" fillId="0" borderId="15" xfId="65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180" fontId="4" fillId="0" borderId="10" xfId="65" applyNumberFormat="1" applyFont="1" applyFill="1" applyBorder="1" applyAlignment="1">
      <alignment horizontal="center" vertical="center"/>
    </xf>
    <xf numFmtId="181" fontId="4" fillId="0" borderId="10" xfId="65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71" fontId="6" fillId="0" borderId="16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171" fontId="3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71" fontId="6" fillId="0" borderId="16" xfId="0" applyNumberFormat="1" applyFont="1" applyBorder="1" applyAlignment="1">
      <alignment horizontal="center" vertical="center" wrapText="1"/>
    </xf>
    <xf numFmtId="171" fontId="7" fillId="0" borderId="16" xfId="0" applyNumberFormat="1" applyFont="1" applyBorder="1" applyAlignment="1">
      <alignment vertical="center" wrapText="1"/>
    </xf>
    <xf numFmtId="17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1" fontId="6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0" xfId="0" applyNumberFormat="1" applyFont="1" applyAlignment="1">
      <alignment horizontal="left"/>
    </xf>
    <xf numFmtId="171" fontId="6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/>
    </xf>
    <xf numFmtId="0" fontId="51" fillId="34" borderId="10" xfId="0" applyNumberFormat="1" applyFont="1" applyFill="1" applyBorder="1" applyAlignment="1">
      <alignment horizontal="center" vertical="center" wrapText="1"/>
    </xf>
    <xf numFmtId="171" fontId="3" fillId="0" borderId="0" xfId="65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Alignment="1">
      <alignment/>
    </xf>
    <xf numFmtId="192" fontId="4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171" fontId="4" fillId="0" borderId="10" xfId="65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3" fontId="4" fillId="0" borderId="10" xfId="65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71" fontId="4" fillId="0" borderId="17" xfId="0" applyNumberFormat="1" applyFont="1" applyBorder="1" applyAlignment="1">
      <alignment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207" fontId="4" fillId="0" borderId="10" xfId="65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213" fontId="6" fillId="0" borderId="1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left" vertical="center" wrapText="1"/>
    </xf>
    <xf numFmtId="4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3" fontId="4" fillId="0" borderId="10" xfId="65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 vertical="center" wrapText="1"/>
    </xf>
    <xf numFmtId="43" fontId="4" fillId="0" borderId="10" xfId="65" applyNumberFormat="1" applyFont="1" applyFill="1" applyBorder="1" applyAlignment="1">
      <alignment horizontal="center" vertical="center"/>
    </xf>
    <xf numFmtId="43" fontId="4" fillId="0" borderId="10" xfId="65" applyNumberFormat="1" applyFont="1" applyFill="1" applyBorder="1" applyAlignment="1">
      <alignment horizontal="left" vertical="center"/>
    </xf>
    <xf numFmtId="43" fontId="7" fillId="0" borderId="10" xfId="0" applyNumberFormat="1" applyFont="1" applyFill="1" applyBorder="1" applyAlignment="1">
      <alignment vertical="center" wrapText="1"/>
    </xf>
    <xf numFmtId="171" fontId="7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vertical="center" wrapText="1"/>
    </xf>
    <xf numFmtId="190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 vertical="center"/>
    </xf>
    <xf numFmtId="43" fontId="4" fillId="0" borderId="10" xfId="65" applyNumberFormat="1" applyFont="1" applyBorder="1" applyAlignment="1">
      <alignment vertical="center" wrapText="1"/>
    </xf>
    <xf numFmtId="43" fontId="4" fillId="0" borderId="10" xfId="65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Border="1" applyAlignment="1">
      <alignment vertical="center" wrapText="1"/>
    </xf>
    <xf numFmtId="180" fontId="4" fillId="0" borderId="10" xfId="65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43" fontId="51" fillId="0" borderId="10" xfId="65" applyNumberFormat="1" applyFont="1" applyFill="1" applyBorder="1" applyAlignment="1">
      <alignment horizontal="center" vertical="center" wrapText="1"/>
    </xf>
    <xf numFmtId="43" fontId="51" fillId="0" borderId="10" xfId="65" applyNumberFormat="1" applyFont="1" applyFill="1" applyBorder="1" applyAlignment="1">
      <alignment horizontal="left" vertical="center" wrapText="1"/>
    </xf>
    <xf numFmtId="181" fontId="4" fillId="0" borderId="10" xfId="6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23" fontId="4" fillId="0" borderId="0" xfId="0" applyNumberFormat="1" applyFont="1" applyFill="1" applyAlignment="1">
      <alignment horizontal="center" vertical="center" wrapText="1"/>
    </xf>
    <xf numFmtId="22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4" fillId="0" borderId="10" xfId="65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2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71" fontId="6" fillId="35" borderId="10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3" fontId="6" fillId="35" borderId="10" xfId="0" applyNumberFormat="1" applyFont="1" applyFill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 wrapText="1"/>
    </xf>
    <xf numFmtId="10" fontId="7" fillId="0" borderId="22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71" fontId="7" fillId="0" borderId="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3" fontId="6" fillId="35" borderId="17" xfId="0" applyNumberFormat="1" applyFont="1" applyFill="1" applyBorder="1" applyAlignment="1">
      <alignment horizontal="center" vertical="center" wrapText="1"/>
    </xf>
    <xf numFmtId="43" fontId="6" fillId="35" borderId="2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40" fontId="4" fillId="33" borderId="18" xfId="50" applyNumberFormat="1" applyFont="1" applyFill="1" applyBorder="1" applyAlignment="1">
      <alignment horizontal="right" vertical="center"/>
      <protection/>
    </xf>
    <xf numFmtId="179" fontId="11" fillId="33" borderId="26" xfId="48" applyNumberFormat="1" applyFont="1" applyFill="1" applyBorder="1" applyAlignment="1">
      <alignment horizontal="center" vertical="center" wrapText="1"/>
      <protection/>
    </xf>
    <xf numFmtId="179" fontId="11" fillId="33" borderId="27" xfId="48" applyNumberFormat="1" applyFont="1" applyFill="1" applyBorder="1" applyAlignment="1">
      <alignment horizontal="center" vertical="center" wrapText="1"/>
      <protection/>
    </xf>
    <xf numFmtId="43" fontId="11" fillId="33" borderId="26" xfId="48" applyNumberFormat="1" applyFont="1" applyFill="1" applyBorder="1" applyAlignment="1">
      <alignment horizontal="center" vertical="center" wrapText="1"/>
      <protection/>
    </xf>
    <xf numFmtId="43" fontId="11" fillId="33" borderId="27" xfId="48" applyNumberFormat="1" applyFont="1" applyFill="1" applyBorder="1" applyAlignment="1">
      <alignment horizontal="center" vertical="center" wrapText="1"/>
      <protection/>
    </xf>
    <xf numFmtId="37" fontId="11" fillId="33" borderId="10" xfId="55" applyNumberFormat="1" applyFont="1" applyFill="1" applyBorder="1" applyAlignment="1">
      <alignment horizontal="center" vertical="center"/>
    </xf>
    <xf numFmtId="37" fontId="3" fillId="33" borderId="17" xfId="55" applyNumberFormat="1" applyFont="1" applyFill="1" applyBorder="1" applyAlignment="1" applyProtection="1">
      <alignment horizontal="center" vertical="center"/>
      <protection/>
    </xf>
    <xf numFmtId="37" fontId="3" fillId="33" borderId="19" xfId="55" applyNumberFormat="1" applyFont="1" applyFill="1" applyBorder="1" applyAlignment="1" applyProtection="1">
      <alignment horizontal="center" vertical="center"/>
      <protection/>
    </xf>
    <xf numFmtId="37" fontId="3" fillId="33" borderId="25" xfId="55" applyNumberFormat="1" applyFont="1" applyFill="1" applyBorder="1" applyAlignment="1" applyProtection="1">
      <alignment horizontal="center" vertical="center"/>
      <protection/>
    </xf>
    <xf numFmtId="40" fontId="11" fillId="33" borderId="10" xfId="48" applyNumberFormat="1" applyFont="1" applyFill="1" applyBorder="1" applyAlignment="1" applyProtection="1">
      <alignment horizontal="center" vertical="center" wrapText="1"/>
      <protection/>
    </xf>
    <xf numFmtId="40" fontId="11" fillId="33" borderId="10" xfId="55" applyFont="1" applyFill="1" applyBorder="1" applyAlignment="1" applyProtection="1">
      <alignment horizontal="center" vertical="center"/>
      <protection/>
    </xf>
    <xf numFmtId="175" fontId="3" fillId="0" borderId="14" xfId="48" applyFont="1" applyBorder="1" applyAlignment="1">
      <alignment horizontal="left" vertical="center"/>
      <protection/>
    </xf>
    <xf numFmtId="37" fontId="3" fillId="33" borderId="14" xfId="55" applyNumberFormat="1" applyFont="1" applyFill="1" applyBorder="1" applyAlignment="1">
      <alignment horizontal="left" vertical="center"/>
    </xf>
    <xf numFmtId="40" fontId="11" fillId="33" borderId="10" xfId="55" applyFont="1" applyFill="1" applyBorder="1" applyAlignment="1" applyProtection="1">
      <alignment horizontal="center" vertical="center" wrapText="1"/>
      <protection/>
    </xf>
    <xf numFmtId="40" fontId="11" fillId="33" borderId="10" xfId="48" applyNumberFormat="1" applyFont="1" applyFill="1" applyBorder="1" applyAlignment="1">
      <alignment horizontal="center" vertical="center" wrapText="1"/>
      <protection/>
    </xf>
    <xf numFmtId="175" fontId="5" fillId="0" borderId="0" xfId="48" applyFont="1" applyBorder="1" applyAlignment="1">
      <alignment horizontal="center" vertical="center"/>
      <protection/>
    </xf>
    <xf numFmtId="22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171" fontId="3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3" fillId="0" borderId="23" xfId="0" applyNumberFormat="1" applyFont="1" applyBorder="1" applyAlignment="1">
      <alignment horizontal="center" vertical="center" wrapText="1"/>
    </xf>
    <xf numFmtId="171" fontId="3" fillId="0" borderId="18" xfId="0" applyNumberFormat="1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 vertical="center" wrapText="1"/>
    </xf>
    <xf numFmtId="171" fontId="3" fillId="0" borderId="16" xfId="0" applyNumberFormat="1" applyFont="1" applyBorder="1" applyAlignment="1">
      <alignment horizontal="center" vertical="center" wrapText="1"/>
    </xf>
    <xf numFmtId="171" fontId="3" fillId="0" borderId="0" xfId="0" applyNumberFormat="1" applyFont="1" applyBorder="1" applyAlignment="1">
      <alignment horizontal="center" vertical="center" wrapText="1"/>
    </xf>
    <xf numFmtId="171" fontId="3" fillId="0" borderId="20" xfId="0" applyNumberFormat="1" applyFont="1" applyBorder="1" applyAlignment="1">
      <alignment horizontal="center" vertical="center" wrapText="1"/>
    </xf>
    <xf numFmtId="171" fontId="3" fillId="0" borderId="21" xfId="0" applyNumberFormat="1" applyFont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center" vertical="center" wrapText="1"/>
    </xf>
    <xf numFmtId="171" fontId="3" fillId="0" borderId="22" xfId="0" applyNumberFormat="1" applyFont="1" applyBorder="1" applyAlignment="1">
      <alignment horizontal="center" vertical="center" wrapText="1"/>
    </xf>
    <xf numFmtId="171" fontId="3" fillId="0" borderId="17" xfId="0" applyNumberFormat="1" applyFont="1" applyBorder="1" applyAlignment="1">
      <alignment horizontal="center" vertical="center" wrapText="1"/>
    </xf>
    <xf numFmtId="171" fontId="3" fillId="0" borderId="19" xfId="0" applyNumberFormat="1" applyFont="1" applyBorder="1" applyAlignment="1">
      <alignment horizontal="center" vertical="center" wrapText="1"/>
    </xf>
    <xf numFmtId="171" fontId="3" fillId="0" borderId="25" xfId="0" applyNumberFormat="1" applyFont="1" applyBorder="1" applyAlignment="1">
      <alignment horizontal="center" vertical="center" wrapText="1"/>
    </xf>
    <xf numFmtId="171" fontId="4" fillId="0" borderId="17" xfId="0" applyNumberFormat="1" applyFont="1" applyBorder="1" applyAlignment="1">
      <alignment vertical="center" wrapText="1"/>
    </xf>
    <xf numFmtId="171" fontId="4" fillId="0" borderId="19" xfId="0" applyNumberFormat="1" applyFont="1" applyBorder="1" applyAlignment="1">
      <alignment vertical="center" wrapText="1"/>
    </xf>
    <xf numFmtId="171" fontId="4" fillId="0" borderId="25" xfId="0" applyNumberFormat="1" applyFont="1" applyBorder="1" applyAlignment="1">
      <alignment vertical="center" wrapText="1"/>
    </xf>
    <xf numFmtId="171" fontId="4" fillId="0" borderId="23" xfId="0" applyNumberFormat="1" applyFont="1" applyBorder="1" applyAlignment="1">
      <alignment horizontal="left" vertical="center" wrapText="1"/>
    </xf>
    <xf numFmtId="171" fontId="4" fillId="0" borderId="18" xfId="0" applyNumberFormat="1" applyFont="1" applyBorder="1" applyAlignment="1">
      <alignment horizontal="left" vertical="center" wrapText="1"/>
    </xf>
    <xf numFmtId="171" fontId="4" fillId="0" borderId="24" xfId="0" applyNumberFormat="1" applyFont="1" applyBorder="1" applyAlignment="1">
      <alignment horizontal="left" vertical="center" wrapText="1"/>
    </xf>
    <xf numFmtId="171" fontId="4" fillId="0" borderId="21" xfId="0" applyNumberFormat="1" applyFont="1" applyBorder="1" applyAlignment="1">
      <alignment horizontal="left" vertical="center" wrapText="1"/>
    </xf>
    <xf numFmtId="171" fontId="4" fillId="0" borderId="14" xfId="0" applyNumberFormat="1" applyFont="1" applyBorder="1" applyAlignment="1">
      <alignment horizontal="left" vertical="center" wrapText="1"/>
    </xf>
    <xf numFmtId="171" fontId="4" fillId="0" borderId="22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171" fontId="4" fillId="0" borderId="17" xfId="0" applyNumberFormat="1" applyFont="1" applyBorder="1" applyAlignment="1">
      <alignment horizontal="center" vertical="center" wrapText="1"/>
    </xf>
    <xf numFmtId="171" fontId="4" fillId="0" borderId="25" xfId="0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 horizontal="left" vertical="center" wrapText="1"/>
    </xf>
    <xf numFmtId="171" fontId="4" fillId="0" borderId="17" xfId="0" applyNumberFormat="1" applyFont="1" applyBorder="1" applyAlignment="1">
      <alignment horizontal="left" vertical="center" wrapText="1"/>
    </xf>
    <xf numFmtId="171" fontId="4" fillId="0" borderId="19" xfId="0" applyNumberFormat="1" applyFont="1" applyBorder="1" applyAlignment="1">
      <alignment horizontal="left" vertical="center" wrapText="1"/>
    </xf>
    <xf numFmtId="171" fontId="4" fillId="0" borderId="25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35" borderId="10" xfId="0" applyFont="1" applyFill="1" applyBorder="1" applyAlignment="1">
      <alignment horizontal="center" vertical="center" wrapText="1"/>
    </xf>
    <xf numFmtId="49" fontId="3" fillId="0" borderId="10" xfId="65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43" fontId="3" fillId="0" borderId="10" xfId="6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65" applyFont="1" applyFill="1" applyBorder="1" applyAlignment="1">
      <alignment horizontal="center" vertical="center" wrapText="1"/>
    </xf>
    <xf numFmtId="43" fontId="3" fillId="0" borderId="17" xfId="65" applyNumberFormat="1" applyFont="1" applyFill="1" applyBorder="1" applyAlignment="1">
      <alignment horizontal="center" vertical="center" wrapText="1"/>
    </xf>
    <xf numFmtId="43" fontId="3" fillId="0" borderId="19" xfId="65" applyNumberFormat="1" applyFont="1" applyFill="1" applyBorder="1" applyAlignment="1">
      <alignment horizontal="center" vertical="center" wrapText="1"/>
    </xf>
    <xf numFmtId="43" fontId="3" fillId="0" borderId="25" xfId="65" applyNumberFormat="1" applyFont="1" applyFill="1" applyBorder="1" applyAlignment="1">
      <alignment horizontal="center" vertical="center" wrapText="1"/>
    </xf>
    <xf numFmtId="43" fontId="4" fillId="0" borderId="17" xfId="65" applyNumberFormat="1" applyFont="1" applyFill="1" applyBorder="1" applyAlignment="1">
      <alignment horizontal="center" vertical="center" wrapText="1"/>
    </xf>
    <xf numFmtId="43" fontId="4" fillId="0" borderId="19" xfId="65" applyNumberFormat="1" applyFont="1" applyFill="1" applyBorder="1" applyAlignment="1">
      <alignment horizontal="center" vertical="center" wrapText="1"/>
    </xf>
    <xf numFmtId="43" fontId="4" fillId="0" borderId="25" xfId="65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3" fillId="0" borderId="10" xfId="65" applyNumberFormat="1" applyFont="1" applyFill="1" applyBorder="1" applyAlignment="1">
      <alignment horizontal="center" vertical="center" wrapText="1"/>
    </xf>
    <xf numFmtId="43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3" fontId="14" fillId="0" borderId="10" xfId="65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10" fontId="3" fillId="0" borderId="10" xfId="65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71" fontId="3" fillId="0" borderId="0" xfId="65" applyFont="1" applyFill="1" applyBorder="1" applyAlignment="1">
      <alignment horizontal="right" vertical="center" wrapText="1"/>
    </xf>
    <xf numFmtId="171" fontId="3" fillId="0" borderId="10" xfId="65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0" fontId="4" fillId="0" borderId="0" xfId="65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3" fontId="3" fillId="0" borderId="10" xfId="65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3" fontId="3" fillId="0" borderId="28" xfId="0" applyNumberFormat="1" applyFont="1" applyFill="1" applyBorder="1" applyAlignment="1">
      <alignment horizontal="right" vertical="center" wrapText="1"/>
    </xf>
    <xf numFmtId="43" fontId="3" fillId="0" borderId="29" xfId="0" applyNumberFormat="1" applyFont="1" applyFill="1" applyBorder="1" applyAlignment="1">
      <alignment horizontal="right" vertical="center" wrapText="1"/>
    </xf>
    <xf numFmtId="43" fontId="3" fillId="0" borderId="17" xfId="65" applyNumberFormat="1" applyFont="1" applyFill="1" applyBorder="1" applyAlignment="1">
      <alignment horizontal="center" vertical="center"/>
    </xf>
    <xf numFmtId="43" fontId="3" fillId="0" borderId="19" xfId="65" applyNumberFormat="1" applyFont="1" applyFill="1" applyBorder="1" applyAlignment="1">
      <alignment horizontal="center" vertical="center"/>
    </xf>
    <xf numFmtId="43" fontId="3" fillId="0" borderId="25" xfId="65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lcinopolis_Precos_06_07" xfId="48"/>
    <cellStyle name="Normal_Estudo Sidrolândia" xfId="49"/>
    <cellStyle name="Normal_Paranaiba-dren" xfId="50"/>
    <cellStyle name="Nota" xfId="51"/>
    <cellStyle name="Percent" xfId="52"/>
    <cellStyle name="Saída" xfId="53"/>
    <cellStyle name="Comma [0]" xfId="54"/>
    <cellStyle name="Separador de milhares_Alcinopolis_Precos_06_07" xfId="55"/>
    <cellStyle name="Separador de milhares_Paranaiba-dren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7</xdr:row>
      <xdr:rowOff>19050</xdr:rowOff>
    </xdr:from>
    <xdr:to>
      <xdr:col>9</xdr:col>
      <xdr:colOff>638175</xdr:colOff>
      <xdr:row>16</xdr:row>
      <xdr:rowOff>19050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152525"/>
          <a:ext cx="2047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2562225</xdr:colOff>
      <xdr:row>7</xdr:row>
      <xdr:rowOff>152400</xdr:rowOff>
    </xdr:from>
    <xdr:ext cx="180975" cy="361950"/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12858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2562225</xdr:colOff>
      <xdr:row>7</xdr:row>
      <xdr:rowOff>152400</xdr:rowOff>
    </xdr:from>
    <xdr:ext cx="180975" cy="361950"/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12858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2562225</xdr:colOff>
      <xdr:row>9</xdr:row>
      <xdr:rowOff>76200</xdr:rowOff>
    </xdr:from>
    <xdr:ext cx="180975" cy="285750"/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15716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2562225</xdr:colOff>
      <xdr:row>8</xdr:row>
      <xdr:rowOff>76200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1409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2562225</xdr:colOff>
      <xdr:row>9</xdr:row>
      <xdr:rowOff>76200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124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view="pageBreakPreview" zoomScaleSheetLayoutView="100" workbookViewId="0" topLeftCell="A16">
      <selection activeCell="G33" sqref="G33"/>
    </sheetView>
  </sheetViews>
  <sheetFormatPr defaultColWidth="9.140625" defaultRowHeight="12.75"/>
  <cols>
    <col min="1" max="1" width="16.7109375" style="51" customWidth="1"/>
    <col min="2" max="2" width="8.7109375" style="51" customWidth="1"/>
    <col min="3" max="3" width="6.7109375" style="51" customWidth="1"/>
    <col min="4" max="5" width="11.7109375" style="51" customWidth="1"/>
    <col min="6" max="6" width="10.7109375" style="51" customWidth="1"/>
    <col min="7" max="7" width="9.7109375" style="51" customWidth="1"/>
    <col min="8" max="10" width="10.7109375" style="51" customWidth="1"/>
    <col min="11" max="11" width="8.140625" style="51" bestFit="1" customWidth="1"/>
    <col min="12" max="12" width="7.00390625" style="51" bestFit="1" customWidth="1"/>
    <col min="13" max="18" width="4.8515625" style="51" bestFit="1" customWidth="1"/>
    <col min="19" max="19" width="8.140625" style="51" bestFit="1" customWidth="1"/>
    <col min="20" max="20" width="6.140625" style="51" bestFit="1" customWidth="1"/>
    <col min="21" max="21" width="5.421875" style="51" bestFit="1" customWidth="1"/>
    <col min="22" max="23" width="10.57421875" style="51" customWidth="1"/>
    <col min="24" max="24" width="12.421875" style="51" bestFit="1" customWidth="1"/>
    <col min="25" max="25" width="9.28125" style="51" bestFit="1" customWidth="1"/>
    <col min="26" max="16384" width="9.140625" style="51" customWidth="1"/>
  </cols>
  <sheetData>
    <row r="1" spans="1:23" ht="12.75" customHeight="1">
      <c r="A1" s="265" t="s">
        <v>346</v>
      </c>
      <c r="B1" s="265"/>
      <c r="C1" s="265"/>
      <c r="D1" s="265"/>
      <c r="E1" s="265"/>
      <c r="F1" s="265"/>
      <c r="G1" s="265"/>
      <c r="H1" s="265"/>
      <c r="I1" s="265"/>
      <c r="J1" s="265"/>
      <c r="K1" s="147"/>
      <c r="L1" s="50"/>
      <c r="M1" s="50"/>
      <c r="N1" s="52"/>
      <c r="O1" s="50"/>
      <c r="P1" s="50"/>
      <c r="Q1" s="50"/>
      <c r="R1" s="50"/>
      <c r="S1" s="50"/>
      <c r="T1" s="50"/>
      <c r="U1" s="50"/>
      <c r="V1" s="50"/>
      <c r="W1" s="50"/>
    </row>
    <row r="2" spans="1:24" ht="12.75" customHeight="1">
      <c r="A2" s="265" t="s">
        <v>475</v>
      </c>
      <c r="B2" s="265"/>
      <c r="C2" s="265"/>
      <c r="D2" s="265"/>
      <c r="E2" s="265"/>
      <c r="F2" s="265"/>
      <c r="G2" s="265"/>
      <c r="H2" s="265"/>
      <c r="I2" s="265"/>
      <c r="J2" s="265"/>
      <c r="K2" s="147"/>
      <c r="L2" s="52"/>
      <c r="M2" s="52"/>
      <c r="N2" s="52"/>
      <c r="O2" s="3"/>
      <c r="P2" s="3"/>
      <c r="Q2" s="3"/>
      <c r="R2" s="3"/>
      <c r="S2" s="3"/>
      <c r="T2" s="52"/>
      <c r="U2" s="52"/>
      <c r="V2" s="52"/>
      <c r="W2" s="52"/>
      <c r="X2" s="52"/>
    </row>
    <row r="3" spans="1:23" ht="12.75" customHeight="1">
      <c r="A3" s="265" t="s">
        <v>476</v>
      </c>
      <c r="B3" s="265"/>
      <c r="C3" s="265"/>
      <c r="D3" s="265"/>
      <c r="E3" s="265"/>
      <c r="F3" s="265"/>
      <c r="G3" s="265"/>
      <c r="H3" s="265"/>
      <c r="I3" s="265"/>
      <c r="J3" s="265"/>
      <c r="K3" s="147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2.75" customHeight="1">
      <c r="A4" s="147" t="s">
        <v>347</v>
      </c>
      <c r="B4" s="177">
        <f>H51</f>
        <v>82</v>
      </c>
      <c r="C4" s="259" t="s">
        <v>10</v>
      </c>
      <c r="D4" s="259"/>
      <c r="E4" s="259"/>
      <c r="F4" s="259"/>
      <c r="G4" s="259"/>
      <c r="H4" s="259"/>
      <c r="I4" s="259"/>
      <c r="J4" s="259"/>
      <c r="K4" s="18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12.75">
      <c r="A5" s="265" t="s">
        <v>546</v>
      </c>
      <c r="B5" s="265"/>
      <c r="C5" s="265"/>
      <c r="D5" s="265"/>
      <c r="E5" s="265"/>
      <c r="F5" s="265"/>
      <c r="G5" s="265"/>
      <c r="H5" s="265"/>
      <c r="I5" s="265"/>
      <c r="J5" s="265"/>
      <c r="K5" s="147"/>
      <c r="L5" s="53"/>
      <c r="M5" s="53"/>
      <c r="N5" s="52"/>
      <c r="O5" s="53"/>
      <c r="P5" s="53"/>
      <c r="Q5" s="53"/>
      <c r="R5" s="53"/>
      <c r="S5" s="53"/>
      <c r="T5" s="53"/>
      <c r="U5" s="53"/>
      <c r="V5" s="53"/>
      <c r="W5" s="53"/>
    </row>
    <row r="6" spans="1:23" ht="12.75" customHeight="1">
      <c r="A6" s="260" t="s">
        <v>32</v>
      </c>
      <c r="B6" s="260"/>
      <c r="C6" s="260"/>
      <c r="D6" s="260"/>
      <c r="E6" s="260"/>
      <c r="F6" s="260"/>
      <c r="G6" s="260"/>
      <c r="H6" s="260"/>
      <c r="I6" s="260"/>
      <c r="J6" s="260"/>
      <c r="K6" s="183"/>
      <c r="L6" s="150"/>
      <c r="M6" s="150"/>
      <c r="N6" s="150"/>
      <c r="O6" s="50"/>
      <c r="P6" s="50"/>
      <c r="Q6" s="50"/>
      <c r="R6" s="50"/>
      <c r="S6" s="50"/>
      <c r="T6" s="50"/>
      <c r="U6" s="50"/>
      <c r="V6" s="50"/>
      <c r="W6" s="50"/>
    </row>
    <row r="7" spans="1:23" ht="12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183"/>
      <c r="L7" s="150"/>
      <c r="M7" s="150"/>
      <c r="N7" s="150"/>
      <c r="O7" s="50"/>
      <c r="P7" s="50"/>
      <c r="Q7" s="50"/>
      <c r="R7" s="50"/>
      <c r="S7" s="50"/>
      <c r="T7" s="50"/>
      <c r="U7" s="50"/>
      <c r="V7" s="54"/>
      <c r="W7" s="54"/>
    </row>
    <row r="8" spans="1:21" ht="12.75" customHeight="1">
      <c r="A8" s="233" t="s">
        <v>311</v>
      </c>
      <c r="B8" s="233"/>
      <c r="C8" s="233"/>
      <c r="D8" s="233"/>
      <c r="E8" s="233"/>
      <c r="F8" s="233"/>
      <c r="G8" s="233"/>
      <c r="H8" s="259"/>
      <c r="I8" s="259"/>
      <c r="J8" s="259"/>
      <c r="K8" s="182"/>
      <c r="L8" s="50"/>
      <c r="M8" s="150"/>
      <c r="N8" s="150"/>
      <c r="O8" s="50"/>
      <c r="P8" s="50"/>
      <c r="Q8" s="50"/>
      <c r="R8" s="50"/>
      <c r="S8" s="50"/>
      <c r="T8" s="50"/>
      <c r="U8" s="50"/>
    </row>
    <row r="9" spans="1:21" ht="38.25">
      <c r="A9" s="55" t="s">
        <v>312</v>
      </c>
      <c r="B9" s="55" t="s">
        <v>313</v>
      </c>
      <c r="C9" s="55" t="s">
        <v>314</v>
      </c>
      <c r="D9" s="55" t="s">
        <v>315</v>
      </c>
      <c r="E9" s="55" t="s">
        <v>316</v>
      </c>
      <c r="F9" s="55" t="s">
        <v>317</v>
      </c>
      <c r="G9" s="55" t="s">
        <v>286</v>
      </c>
      <c r="H9" s="262"/>
      <c r="I9" s="264"/>
      <c r="J9" s="264"/>
      <c r="K9" s="153"/>
      <c r="L9" s="153"/>
      <c r="M9" s="150"/>
      <c r="N9" s="150"/>
      <c r="O9" s="50"/>
      <c r="P9" s="50"/>
      <c r="Q9" s="50"/>
      <c r="R9" s="50"/>
      <c r="S9" s="50"/>
      <c r="T9" s="50"/>
      <c r="U9" s="50"/>
    </row>
    <row r="10" spans="1:21" ht="15.75">
      <c r="A10" s="55" t="s">
        <v>40</v>
      </c>
      <c r="B10" s="55" t="s">
        <v>10</v>
      </c>
      <c r="C10" s="55" t="s">
        <v>5</v>
      </c>
      <c r="D10" s="55" t="s">
        <v>10</v>
      </c>
      <c r="E10" s="55" t="s">
        <v>10</v>
      </c>
      <c r="F10" s="55" t="s">
        <v>10</v>
      </c>
      <c r="G10" s="55" t="s">
        <v>288</v>
      </c>
      <c r="H10" s="262"/>
      <c r="I10" s="264"/>
      <c r="J10" s="264"/>
      <c r="K10" s="153"/>
      <c r="L10" s="153"/>
      <c r="M10" s="150"/>
      <c r="N10" s="150"/>
      <c r="O10" s="50"/>
      <c r="P10" s="50"/>
      <c r="Q10" s="50"/>
      <c r="R10" s="50"/>
      <c r="S10" s="50"/>
      <c r="T10" s="50"/>
      <c r="U10" s="50"/>
    </row>
    <row r="11" spans="1:21" ht="15.75">
      <c r="A11" s="57">
        <v>400</v>
      </c>
      <c r="B11" s="154">
        <v>0.48</v>
      </c>
      <c r="C11" s="155">
        <v>0.12</v>
      </c>
      <c r="D11" s="154">
        <v>0.4</v>
      </c>
      <c r="E11" s="154">
        <v>0.3</v>
      </c>
      <c r="F11" s="154">
        <v>0.55</v>
      </c>
      <c r="G11" s="154">
        <v>0.22</v>
      </c>
      <c r="H11" s="262"/>
      <c r="I11" s="264"/>
      <c r="J11" s="264"/>
      <c r="K11" s="153"/>
      <c r="L11" s="153"/>
      <c r="M11" s="150"/>
      <c r="N11" s="150"/>
      <c r="O11" s="50"/>
      <c r="P11" s="50"/>
      <c r="Q11" s="50"/>
      <c r="R11" s="50"/>
      <c r="S11" s="50"/>
      <c r="T11" s="50"/>
      <c r="U11" s="50"/>
    </row>
    <row r="12" spans="1:21" ht="15.75">
      <c r="A12" s="57">
        <v>600</v>
      </c>
      <c r="B12" s="154">
        <v>0.72</v>
      </c>
      <c r="C12" s="155">
        <f>C11</f>
        <v>0.12</v>
      </c>
      <c r="D12" s="154">
        <v>0.5</v>
      </c>
      <c r="E12" s="154">
        <f aca="true" t="shared" si="0" ref="E12:F16">E11</f>
        <v>0.3</v>
      </c>
      <c r="F12" s="154">
        <f t="shared" si="0"/>
        <v>0.55</v>
      </c>
      <c r="G12" s="154">
        <v>0.43</v>
      </c>
      <c r="H12" s="262"/>
      <c r="I12" s="264"/>
      <c r="J12" s="264"/>
      <c r="K12" s="153"/>
      <c r="L12" s="153"/>
      <c r="M12" s="150"/>
      <c r="N12" s="150"/>
      <c r="O12" s="50"/>
      <c r="P12" s="50"/>
      <c r="Q12" s="50"/>
      <c r="R12" s="50"/>
      <c r="S12" s="50"/>
      <c r="T12" s="50"/>
      <c r="U12" s="50"/>
    </row>
    <row r="13" spans="1:21" ht="15.75">
      <c r="A13" s="57">
        <v>800</v>
      </c>
      <c r="B13" s="154">
        <v>0.96</v>
      </c>
      <c r="C13" s="155">
        <f>C12</f>
        <v>0.12</v>
      </c>
      <c r="D13" s="154">
        <v>0.6</v>
      </c>
      <c r="E13" s="154">
        <f t="shared" si="0"/>
        <v>0.3</v>
      </c>
      <c r="F13" s="154">
        <f t="shared" si="0"/>
        <v>0.55</v>
      </c>
      <c r="G13" s="154">
        <v>0.61</v>
      </c>
      <c r="H13" s="262"/>
      <c r="I13" s="264"/>
      <c r="J13" s="264"/>
      <c r="K13" s="153"/>
      <c r="L13" s="153"/>
      <c r="M13" s="150"/>
      <c r="N13" s="150"/>
      <c r="O13" s="50"/>
      <c r="P13" s="50"/>
      <c r="Q13" s="50"/>
      <c r="R13" s="50"/>
      <c r="S13" s="50"/>
      <c r="T13" s="50"/>
      <c r="U13" s="50"/>
    </row>
    <row r="14" spans="1:23" ht="15.75">
      <c r="A14" s="57">
        <v>1000</v>
      </c>
      <c r="B14" s="154">
        <v>1.16</v>
      </c>
      <c r="C14" s="155">
        <f>C13</f>
        <v>0.12</v>
      </c>
      <c r="D14" s="154">
        <v>0.6</v>
      </c>
      <c r="E14" s="154">
        <f t="shared" si="0"/>
        <v>0.3</v>
      </c>
      <c r="F14" s="154">
        <f t="shared" si="0"/>
        <v>0.55</v>
      </c>
      <c r="G14" s="154">
        <v>0.97</v>
      </c>
      <c r="H14" s="262"/>
      <c r="I14" s="264"/>
      <c r="J14" s="264"/>
      <c r="K14" s="153"/>
      <c r="L14" s="153"/>
      <c r="M14" s="150"/>
      <c r="N14" s="150"/>
      <c r="O14" s="50"/>
      <c r="P14" s="50"/>
      <c r="Q14" s="50"/>
      <c r="R14" s="50"/>
      <c r="S14" s="50"/>
      <c r="T14" s="50"/>
      <c r="U14" s="50"/>
      <c r="V14" s="50"/>
      <c r="W14" s="50"/>
    </row>
    <row r="15" spans="1:21" ht="12.75" customHeight="1">
      <c r="A15" s="57">
        <v>1200</v>
      </c>
      <c r="B15" s="154">
        <v>1.39</v>
      </c>
      <c r="C15" s="155">
        <f>C14</f>
        <v>0.12</v>
      </c>
      <c r="D15" s="154">
        <v>0.6</v>
      </c>
      <c r="E15" s="154">
        <f t="shared" si="0"/>
        <v>0.3</v>
      </c>
      <c r="F15" s="154">
        <f t="shared" si="0"/>
        <v>0.55</v>
      </c>
      <c r="G15" s="154">
        <v>1.4</v>
      </c>
      <c r="H15" s="262"/>
      <c r="I15" s="264"/>
      <c r="J15" s="264"/>
      <c r="K15" s="153"/>
      <c r="L15" s="153"/>
      <c r="M15" s="150"/>
      <c r="N15" s="150"/>
      <c r="O15" s="50"/>
      <c r="P15" s="50"/>
      <c r="Q15" s="50"/>
      <c r="R15" s="50"/>
      <c r="S15" s="50"/>
      <c r="T15" s="50"/>
      <c r="U15" s="50"/>
    </row>
    <row r="16" spans="1:21" ht="12.75" customHeight="1">
      <c r="A16" s="57">
        <v>1500</v>
      </c>
      <c r="B16" s="154">
        <v>1.8</v>
      </c>
      <c r="C16" s="155">
        <f>C15</f>
        <v>0.12</v>
      </c>
      <c r="D16" s="154">
        <v>0.6</v>
      </c>
      <c r="E16" s="154">
        <f t="shared" si="0"/>
        <v>0.3</v>
      </c>
      <c r="F16" s="154">
        <f t="shared" si="0"/>
        <v>0.55</v>
      </c>
      <c r="G16" s="154">
        <v>2</v>
      </c>
      <c r="H16" s="262"/>
      <c r="I16" s="264"/>
      <c r="J16" s="264"/>
      <c r="K16" s="153"/>
      <c r="L16" s="153"/>
      <c r="M16" s="150"/>
      <c r="N16" s="150"/>
      <c r="O16" s="50"/>
      <c r="P16" s="50"/>
      <c r="Q16" s="50"/>
      <c r="R16" s="50"/>
      <c r="S16" s="50"/>
      <c r="T16" s="50"/>
      <c r="U16" s="50"/>
    </row>
    <row r="17" spans="1:21" ht="12.7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153"/>
      <c r="L17" s="50"/>
      <c r="M17" s="150"/>
      <c r="N17" s="261"/>
      <c r="O17" s="261"/>
      <c r="P17" s="261"/>
      <c r="Q17" s="50"/>
      <c r="R17" s="50"/>
      <c r="S17" s="50"/>
      <c r="T17" s="50"/>
      <c r="U17" s="50"/>
    </row>
    <row r="18" spans="1:21" ht="12.75" customHeight="1">
      <c r="A18" s="233" t="s">
        <v>318</v>
      </c>
      <c r="B18" s="233"/>
      <c r="C18" s="233"/>
      <c r="D18" s="233"/>
      <c r="E18" s="233"/>
      <c r="F18" s="233"/>
      <c r="G18" s="233"/>
      <c r="H18" s="233"/>
      <c r="I18" s="233"/>
      <c r="J18" s="233"/>
      <c r="K18" s="185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3.5" customHeight="1">
      <c r="A19" s="245" t="s">
        <v>34</v>
      </c>
      <c r="B19" s="245"/>
      <c r="C19" s="245"/>
      <c r="D19" s="245" t="s">
        <v>312</v>
      </c>
      <c r="E19" s="245" t="s">
        <v>93</v>
      </c>
      <c r="F19" s="245" t="s">
        <v>319</v>
      </c>
      <c r="G19" s="245"/>
      <c r="H19" s="245" t="s">
        <v>320</v>
      </c>
      <c r="I19" s="245"/>
      <c r="J19" s="245" t="s">
        <v>43</v>
      </c>
      <c r="K19" s="262" t="s">
        <v>368</v>
      </c>
      <c r="L19" s="263"/>
      <c r="M19" s="245" t="s">
        <v>35</v>
      </c>
      <c r="N19" s="245"/>
      <c r="O19" s="245"/>
      <c r="P19" s="245" t="s">
        <v>36</v>
      </c>
      <c r="Q19" s="245"/>
      <c r="R19" s="245"/>
      <c r="S19" s="245" t="s">
        <v>144</v>
      </c>
      <c r="T19" s="245"/>
      <c r="U19" s="245"/>
    </row>
    <row r="20" spans="1:21" ht="25.5">
      <c r="A20" s="245"/>
      <c r="B20" s="245"/>
      <c r="C20" s="245"/>
      <c r="D20" s="245"/>
      <c r="E20" s="245"/>
      <c r="F20" s="55" t="s">
        <v>321</v>
      </c>
      <c r="G20" s="55" t="s">
        <v>322</v>
      </c>
      <c r="H20" s="55" t="s">
        <v>321</v>
      </c>
      <c r="I20" s="55" t="s">
        <v>322</v>
      </c>
      <c r="J20" s="245"/>
      <c r="K20" s="56" t="s">
        <v>343</v>
      </c>
      <c r="L20" s="56" t="s">
        <v>344</v>
      </c>
      <c r="M20" s="55" t="s">
        <v>37</v>
      </c>
      <c r="N20" s="55" t="s">
        <v>38</v>
      </c>
      <c r="O20" s="55" t="s">
        <v>39</v>
      </c>
      <c r="P20" s="55" t="s">
        <v>37</v>
      </c>
      <c r="Q20" s="55" t="s">
        <v>38</v>
      </c>
      <c r="R20" s="55" t="s">
        <v>39</v>
      </c>
      <c r="S20" s="159" t="s">
        <v>343</v>
      </c>
      <c r="T20" s="159" t="s">
        <v>344</v>
      </c>
      <c r="U20" s="159" t="s">
        <v>345</v>
      </c>
    </row>
    <row r="21" spans="1:21" ht="15" customHeight="1">
      <c r="A21" s="245"/>
      <c r="B21" s="245"/>
      <c r="C21" s="245"/>
      <c r="D21" s="55" t="s">
        <v>10</v>
      </c>
      <c r="E21" s="57" t="s">
        <v>40</v>
      </c>
      <c r="F21" s="55" t="s">
        <v>10</v>
      </c>
      <c r="G21" s="55" t="s">
        <v>10</v>
      </c>
      <c r="H21" s="55" t="s">
        <v>10</v>
      </c>
      <c r="I21" s="55" t="s">
        <v>10</v>
      </c>
      <c r="J21" s="55" t="s">
        <v>11</v>
      </c>
      <c r="K21" s="56" t="s">
        <v>10</v>
      </c>
      <c r="L21" s="56" t="s">
        <v>10</v>
      </c>
      <c r="M21" s="55" t="s">
        <v>10</v>
      </c>
      <c r="N21" s="55" t="s">
        <v>10</v>
      </c>
      <c r="O21" s="55" t="s">
        <v>10</v>
      </c>
      <c r="P21" s="55" t="s">
        <v>10</v>
      </c>
      <c r="Q21" s="55" t="s">
        <v>10</v>
      </c>
      <c r="R21" s="55" t="s">
        <v>10</v>
      </c>
      <c r="S21" s="55" t="s">
        <v>11</v>
      </c>
      <c r="T21" s="55" t="s">
        <v>11</v>
      </c>
      <c r="U21" s="55" t="s">
        <v>11</v>
      </c>
    </row>
    <row r="22" spans="1:21" ht="15" customHeight="1">
      <c r="A22" s="229" t="s">
        <v>540</v>
      </c>
      <c r="B22" s="229"/>
      <c r="C22" s="229"/>
      <c r="D22" s="186">
        <v>400</v>
      </c>
      <c r="E22" s="154">
        <v>26</v>
      </c>
      <c r="F22" s="156">
        <v>247.369</v>
      </c>
      <c r="G22" s="156">
        <f>IF(F22="",0,F22-SUM(VLOOKUP(D22,$A$11:$G$16,2),VLOOKUP(D22,$A$11:$G$16,6),0.4))</f>
        <v>245.939</v>
      </c>
      <c r="H22" s="156">
        <v>246.738</v>
      </c>
      <c r="I22" s="156">
        <f>IF(H22="",0,H22-SUM(VLOOKUP(D22,$A$11:$G$16,2),VLOOKUP(D22,$A$11:$G$16,6),0.4))</f>
        <v>245.308</v>
      </c>
      <c r="J22" s="154">
        <f aca="true" t="shared" si="1" ref="J22:J27">U22</f>
        <v>2.07</v>
      </c>
      <c r="K22" s="193">
        <f>F22-G22</f>
        <v>1.43</v>
      </c>
      <c r="L22" s="193">
        <f>H22-I22</f>
        <v>1.43</v>
      </c>
      <c r="M22" s="58">
        <f aca="true" t="shared" si="2" ref="M22:M27">TRUNC(IF(D22="",0,VLOOKUP(D22,$A$11:$G$16,2,0)+(VLOOKUP(D22,$A$11:$G$16,4,0)*2)),2)</f>
        <v>1.28</v>
      </c>
      <c r="N22" s="58">
        <f aca="true" t="shared" si="3" ref="N22:N27">TRUNC(IF(D22="",0,M22+(2*((VLOOKUP(D22,$A$11:$G$16,2,0)+VLOOKUP(D22,$A$11:$G$16,5,0))*VLOOKUP(D22,$A$11:$G$16,3,0)))),2)</f>
        <v>1.46</v>
      </c>
      <c r="O22" s="58">
        <f aca="true" t="shared" si="4" ref="O22:O27">TRUNC(IF(D22="",0,M22+(2*(F22-G22)*VLOOKUP(D22,$A$11:$G$16,3,0))),2)</f>
        <v>1.62</v>
      </c>
      <c r="P22" s="58">
        <f aca="true" t="shared" si="5" ref="P22:P27">TRUNC(IF(D22="",0,VLOOKUP(D22,$A$11:$G$16,2,0)+(VLOOKUP(D22,$A$11:$G$16,4,0)*2)),2)</f>
        <v>1.28</v>
      </c>
      <c r="Q22" s="58">
        <f aca="true" t="shared" si="6" ref="Q22:Q27">TRUNC(IF(D22="",0,P22+(2*((VLOOKUP(D22,$A$11:$G$16,2,0)+VLOOKUP(D22,$A$11:$G$16,5,0))*VLOOKUP(D22,$A$11:$G$16,3,0)))),2)</f>
        <v>1.46</v>
      </c>
      <c r="R22" s="58">
        <f aca="true" t="shared" si="7" ref="R22:R27">TRUNC(IF(D22="",0,M22+(2*(H22-I22)*VLOOKUP(D22,$A$11:$G$16,3,0))),2)</f>
        <v>1.62</v>
      </c>
      <c r="S22" s="58">
        <f aca="true" t="shared" si="8" ref="S22:S27">TRUNC((((M22+O22)/2)*(F22-G22)),2)</f>
        <v>2.07</v>
      </c>
      <c r="T22" s="58">
        <f aca="true" t="shared" si="9" ref="T22:T27">TRUNC((((P22+R22)/2)*(H22-I22)),2)</f>
        <v>2.07</v>
      </c>
      <c r="U22" s="70">
        <f aca="true" t="shared" si="10" ref="U22:U27">AVERAGE(S22:T22)</f>
        <v>2.07</v>
      </c>
    </row>
    <row r="23" spans="1:21" ht="15" customHeight="1">
      <c r="A23" s="229" t="s">
        <v>541</v>
      </c>
      <c r="B23" s="229"/>
      <c r="C23" s="229"/>
      <c r="D23" s="186">
        <v>400</v>
      </c>
      <c r="E23" s="154">
        <v>13</v>
      </c>
      <c r="F23" s="156">
        <v>246.738</v>
      </c>
      <c r="G23" s="156">
        <f>IF(F23="",0,F23-SUM(VLOOKUP(D23,$A$11:$G$16,2),VLOOKUP(D23,$A$11:$G$16,6),0.4))</f>
        <v>245.308</v>
      </c>
      <c r="H23" s="156">
        <v>245.349</v>
      </c>
      <c r="I23" s="156">
        <f>IF(H23="",0,H23-SUM(VLOOKUP(D23,$A$11:$G$16,2),VLOOKUP(D23,$A$11:$G$16,6),0.4))</f>
        <v>243.919</v>
      </c>
      <c r="J23" s="154">
        <f t="shared" si="1"/>
        <v>2.07</v>
      </c>
      <c r="K23" s="193">
        <f>F23-G23</f>
        <v>1.43</v>
      </c>
      <c r="L23" s="193">
        <f>H23-I23</f>
        <v>1.43</v>
      </c>
      <c r="M23" s="58">
        <f t="shared" si="2"/>
        <v>1.28</v>
      </c>
      <c r="N23" s="58">
        <f t="shared" si="3"/>
        <v>1.46</v>
      </c>
      <c r="O23" s="58">
        <f t="shared" si="4"/>
        <v>1.62</v>
      </c>
      <c r="P23" s="58">
        <f t="shared" si="5"/>
        <v>1.28</v>
      </c>
      <c r="Q23" s="58">
        <f t="shared" si="6"/>
        <v>1.46</v>
      </c>
      <c r="R23" s="58">
        <f t="shared" si="7"/>
        <v>1.62</v>
      </c>
      <c r="S23" s="58">
        <f t="shared" si="8"/>
        <v>2.07</v>
      </c>
      <c r="T23" s="58">
        <f>TRUNC((((P23+R23)/2)*(H23-I23)),2)</f>
        <v>2.07</v>
      </c>
      <c r="U23" s="70">
        <f t="shared" si="10"/>
        <v>2.07</v>
      </c>
    </row>
    <row r="24" spans="1:23" ht="13.5" customHeight="1">
      <c r="A24" s="229" t="s">
        <v>542</v>
      </c>
      <c r="B24" s="229"/>
      <c r="C24" s="229"/>
      <c r="D24" s="186">
        <v>400</v>
      </c>
      <c r="E24" s="154">
        <v>14</v>
      </c>
      <c r="F24" s="156">
        <v>245.349</v>
      </c>
      <c r="G24" s="156">
        <f>IF(F24="",0,F24-SUM(VLOOKUP(D24,$A$11:$G$16,2),VLOOKUP(D24,$A$11:$G$16,6),0.4))</f>
        <v>243.919</v>
      </c>
      <c r="H24" s="156">
        <v>244.122</v>
      </c>
      <c r="I24" s="156">
        <f>IF(H24="",0,H24-SUM(VLOOKUP(D24,$A$11:$G$16,2),VLOOKUP(D24,$A$11:$G$16,6),0.4))</f>
        <v>242.692</v>
      </c>
      <c r="J24" s="154">
        <f t="shared" si="1"/>
        <v>2.07</v>
      </c>
      <c r="K24" s="193">
        <f>F24-G24</f>
        <v>1.43</v>
      </c>
      <c r="L24" s="193">
        <f>H24-I24</f>
        <v>1.43</v>
      </c>
      <c r="M24" s="58">
        <f t="shared" si="2"/>
        <v>1.28</v>
      </c>
      <c r="N24" s="58">
        <f t="shared" si="3"/>
        <v>1.46</v>
      </c>
      <c r="O24" s="58">
        <f t="shared" si="4"/>
        <v>1.62</v>
      </c>
      <c r="P24" s="58">
        <f t="shared" si="5"/>
        <v>1.28</v>
      </c>
      <c r="Q24" s="58">
        <f t="shared" si="6"/>
        <v>1.46</v>
      </c>
      <c r="R24" s="58">
        <f t="shared" si="7"/>
        <v>1.62</v>
      </c>
      <c r="S24" s="58">
        <f t="shared" si="8"/>
        <v>2.07</v>
      </c>
      <c r="T24" s="58">
        <f>TRUNC((((P24+R24)/2)*(H24-I24)),2)</f>
        <v>2.07</v>
      </c>
      <c r="U24" s="70">
        <f t="shared" si="10"/>
        <v>2.07</v>
      </c>
      <c r="V24" s="52"/>
      <c r="W24" s="52"/>
    </row>
    <row r="25" spans="1:23" ht="12.75">
      <c r="A25" s="229" t="s">
        <v>543</v>
      </c>
      <c r="B25" s="229"/>
      <c r="C25" s="229"/>
      <c r="D25" s="186">
        <v>400</v>
      </c>
      <c r="E25" s="154">
        <v>13</v>
      </c>
      <c r="F25" s="156">
        <v>244.122</v>
      </c>
      <c r="G25" s="156">
        <f>IF(F25="",0,F25-SUM(VLOOKUP(D25,$A$11:$G$16,2),VLOOKUP(D25,$A$11:$G$16,6),0.4))</f>
        <v>242.692</v>
      </c>
      <c r="H25" s="156">
        <v>243.476</v>
      </c>
      <c r="I25" s="156">
        <f>IF(H25="",0,H25-SUM(VLOOKUP(D25,$A$11:$G$16,2),VLOOKUP(D25,$A$11:$G$16,6),0.4))</f>
        <v>242.046</v>
      </c>
      <c r="J25" s="154">
        <f t="shared" si="1"/>
        <v>2.07</v>
      </c>
      <c r="K25" s="193">
        <f>F25-G25</f>
        <v>1.43</v>
      </c>
      <c r="L25" s="193">
        <f>H25-I25</f>
        <v>1.43</v>
      </c>
      <c r="M25" s="58">
        <f t="shared" si="2"/>
        <v>1.28</v>
      </c>
      <c r="N25" s="58">
        <f t="shared" si="3"/>
        <v>1.46</v>
      </c>
      <c r="O25" s="58">
        <f t="shared" si="4"/>
        <v>1.62</v>
      </c>
      <c r="P25" s="58">
        <f t="shared" si="5"/>
        <v>1.28</v>
      </c>
      <c r="Q25" s="58">
        <f t="shared" si="6"/>
        <v>1.46</v>
      </c>
      <c r="R25" s="58">
        <f t="shared" si="7"/>
        <v>1.62</v>
      </c>
      <c r="S25" s="58">
        <f t="shared" si="8"/>
        <v>2.07</v>
      </c>
      <c r="T25" s="58">
        <f>TRUNC((((P25+R25)/2)*(H25-I25)),2)</f>
        <v>2.07</v>
      </c>
      <c r="U25" s="70">
        <f t="shared" si="10"/>
        <v>2.07</v>
      </c>
      <c r="V25" s="52"/>
      <c r="W25" s="52"/>
    </row>
    <row r="26" spans="1:23" ht="13.5" customHeight="1">
      <c r="A26" s="229" t="s">
        <v>544</v>
      </c>
      <c r="B26" s="229"/>
      <c r="C26" s="229"/>
      <c r="D26" s="186">
        <v>600</v>
      </c>
      <c r="E26" s="154">
        <v>16</v>
      </c>
      <c r="F26" s="156">
        <v>248.618</v>
      </c>
      <c r="G26" s="156">
        <f>IF(F26="",0,F26-SUM(VLOOKUP(D26,$A$11:$G$16,2),VLOOKUP(D26,$A$11:$G$16,6),0.4))</f>
        <v>246.948</v>
      </c>
      <c r="H26" s="156">
        <v>243.658</v>
      </c>
      <c r="I26" s="156">
        <f>IF(H26="",0,H26-SUM(VLOOKUP(D26,$A$11:$G$16,2),VLOOKUP(D26,$A$11:$G$16,6),0.4))</f>
        <v>241.988</v>
      </c>
      <c r="J26" s="154">
        <f t="shared" si="1"/>
        <v>3.2</v>
      </c>
      <c r="K26" s="193">
        <f>F26-G26</f>
        <v>1.67</v>
      </c>
      <c r="L26" s="193">
        <f>H26-I26</f>
        <v>1.67</v>
      </c>
      <c r="M26" s="58">
        <f t="shared" si="2"/>
        <v>1.72</v>
      </c>
      <c r="N26" s="58">
        <f t="shared" si="3"/>
        <v>1.96</v>
      </c>
      <c r="O26" s="58">
        <f t="shared" si="4"/>
        <v>2.12</v>
      </c>
      <c r="P26" s="58">
        <f t="shared" si="5"/>
        <v>1.72</v>
      </c>
      <c r="Q26" s="58">
        <f t="shared" si="6"/>
        <v>1.96</v>
      </c>
      <c r="R26" s="58">
        <f t="shared" si="7"/>
        <v>2.12</v>
      </c>
      <c r="S26" s="58">
        <f t="shared" si="8"/>
        <v>3.2</v>
      </c>
      <c r="T26" s="58">
        <f t="shared" si="9"/>
        <v>3.2</v>
      </c>
      <c r="U26" s="70">
        <f t="shared" si="10"/>
        <v>3.2</v>
      </c>
      <c r="V26" s="52"/>
      <c r="W26" s="52"/>
    </row>
    <row r="27" spans="1:23" ht="12.75">
      <c r="A27" s="229" t="s">
        <v>41</v>
      </c>
      <c r="B27" s="229"/>
      <c r="C27" s="229"/>
      <c r="D27" s="186">
        <v>400</v>
      </c>
      <c r="E27" s="154">
        <v>0</v>
      </c>
      <c r="F27" s="156">
        <v>1.2</v>
      </c>
      <c r="G27" s="156">
        <v>0</v>
      </c>
      <c r="H27" s="156">
        <v>1.4</v>
      </c>
      <c r="I27" s="156">
        <v>0</v>
      </c>
      <c r="J27" s="154">
        <f t="shared" si="1"/>
        <v>1.86</v>
      </c>
      <c r="K27" s="187"/>
      <c r="L27" s="60"/>
      <c r="M27" s="58">
        <f t="shared" si="2"/>
        <v>1.28</v>
      </c>
      <c r="N27" s="58">
        <f t="shared" si="3"/>
        <v>1.46</v>
      </c>
      <c r="O27" s="58">
        <f t="shared" si="4"/>
        <v>1.56</v>
      </c>
      <c r="P27" s="58">
        <f t="shared" si="5"/>
        <v>1.28</v>
      </c>
      <c r="Q27" s="58">
        <f t="shared" si="6"/>
        <v>1.46</v>
      </c>
      <c r="R27" s="58">
        <f t="shared" si="7"/>
        <v>1.61</v>
      </c>
      <c r="S27" s="58">
        <f t="shared" si="8"/>
        <v>1.7</v>
      </c>
      <c r="T27" s="58">
        <f t="shared" si="9"/>
        <v>2.02</v>
      </c>
      <c r="U27" s="70">
        <f t="shared" si="10"/>
        <v>1.86</v>
      </c>
      <c r="V27" s="52"/>
      <c r="W27" s="52"/>
    </row>
    <row r="28" spans="1:23" ht="12.75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56"/>
      <c r="L28" s="54"/>
      <c r="M28" s="54"/>
      <c r="N28" s="54"/>
      <c r="O28" s="54"/>
      <c r="P28" s="54"/>
      <c r="Q28" s="54"/>
      <c r="R28" s="54"/>
      <c r="S28" s="54"/>
      <c r="T28" s="50"/>
      <c r="U28" s="50"/>
      <c r="V28" s="52"/>
      <c r="W28" s="52"/>
    </row>
    <row r="29" spans="1:23" ht="12.75">
      <c r="A29" s="233" t="s">
        <v>323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185"/>
      <c r="L29" s="54"/>
      <c r="M29" s="54"/>
      <c r="N29" s="54"/>
      <c r="O29" s="54"/>
      <c r="P29" s="54"/>
      <c r="Q29" s="54"/>
      <c r="R29" s="54"/>
      <c r="S29" s="54"/>
      <c r="V29" s="52"/>
      <c r="W29" s="52"/>
    </row>
    <row r="30" spans="1:23" ht="12.75">
      <c r="A30" s="245" t="s">
        <v>34</v>
      </c>
      <c r="B30" s="245"/>
      <c r="C30" s="245"/>
      <c r="D30" s="245" t="s">
        <v>284</v>
      </c>
      <c r="E30" s="256" t="s">
        <v>283</v>
      </c>
      <c r="F30" s="256" t="s">
        <v>97</v>
      </c>
      <c r="G30" s="256" t="s">
        <v>96</v>
      </c>
      <c r="H30" s="245" t="s">
        <v>44</v>
      </c>
      <c r="I30" s="256" t="s">
        <v>324</v>
      </c>
      <c r="J30" s="245" t="s">
        <v>325</v>
      </c>
      <c r="K30" s="56"/>
      <c r="L30" s="54"/>
      <c r="M30" s="54"/>
      <c r="P30" s="54"/>
      <c r="Q30" s="54"/>
      <c r="R30" s="258"/>
      <c r="S30" s="258"/>
      <c r="V30" s="52"/>
      <c r="W30" s="52"/>
    </row>
    <row r="31" spans="1:23" ht="12.75">
      <c r="A31" s="245"/>
      <c r="B31" s="245"/>
      <c r="C31" s="245"/>
      <c r="D31" s="245"/>
      <c r="E31" s="257"/>
      <c r="F31" s="257"/>
      <c r="G31" s="257"/>
      <c r="H31" s="245"/>
      <c r="I31" s="257"/>
      <c r="J31" s="245"/>
      <c r="K31" s="56"/>
      <c r="L31" s="56"/>
      <c r="M31" s="56"/>
      <c r="P31" s="60"/>
      <c r="Q31" s="60"/>
      <c r="R31" s="56"/>
      <c r="S31" s="56"/>
      <c r="V31" s="52"/>
      <c r="W31" s="52"/>
    </row>
    <row r="32" spans="1:23" ht="12.75">
      <c r="A32" s="245"/>
      <c r="B32" s="245"/>
      <c r="C32" s="245"/>
      <c r="D32" s="55" t="s">
        <v>12</v>
      </c>
      <c r="E32" s="55" t="s">
        <v>12</v>
      </c>
      <c r="F32" s="55" t="s">
        <v>12</v>
      </c>
      <c r="G32" s="55" t="s">
        <v>12</v>
      </c>
      <c r="H32" s="55" t="s">
        <v>11</v>
      </c>
      <c r="I32" s="55" t="s">
        <v>12</v>
      </c>
      <c r="J32" s="55" t="s">
        <v>10</v>
      </c>
      <c r="K32" s="56"/>
      <c r="L32" s="56"/>
      <c r="M32" s="56"/>
      <c r="P32" s="60"/>
      <c r="Q32" s="60"/>
      <c r="R32" s="56"/>
      <c r="S32" s="56"/>
      <c r="V32" s="52"/>
      <c r="W32" s="52"/>
    </row>
    <row r="33" spans="1:23" ht="12.75" customHeight="1">
      <c r="A33" s="229" t="str">
        <f aca="true" t="shared" si="11" ref="A33:A38">A22</f>
        <v>TR 01 - Rua Octaviano dos Santos</v>
      </c>
      <c r="B33" s="229"/>
      <c r="C33" s="229"/>
      <c r="D33" s="61">
        <f aca="true" t="shared" si="12" ref="D33:D38">TRUNC(E22*J22,2)</f>
        <v>53.82</v>
      </c>
      <c r="E33" s="70">
        <f aca="true" t="shared" si="13" ref="E33:E38">TRUNC(D33*$F$109,2)</f>
        <v>48.43</v>
      </c>
      <c r="F33" s="61">
        <f aca="true" t="shared" si="14" ref="F33:F38">D33-E33</f>
        <v>5.39</v>
      </c>
      <c r="G33" s="58">
        <f aca="true" t="shared" si="15" ref="G33:G38">TRUNC(IF(D22="",0,E22*(PI()*(VLOOKUP(D22,$A$11:$G$16,2,0))^2)/4),2)</f>
        <v>4.7</v>
      </c>
      <c r="H33" s="58">
        <f aca="true" t="shared" si="16" ref="H33:H38">TRUNC(IF(D22="",0,(VLOOKUP(D22,$A$11:$G$16,2,0)+2*VLOOKUP(D22,$A$11:$G$16,4,0))*E22),2)</f>
        <v>33.28</v>
      </c>
      <c r="I33" s="58">
        <f aca="true" t="shared" si="17" ref="I33:I38">TRUNC((U33*E22)-G33,2)</f>
        <v>22.86</v>
      </c>
      <c r="J33" s="58">
        <f>D33-I33</f>
        <v>30.96</v>
      </c>
      <c r="K33" s="59"/>
      <c r="M33" s="149" t="str">
        <f aca="true" t="shared" si="18" ref="M33:M38">IF((F22-VLOOKUP(D22,$A$11:$G$16,2,0))&gt;VLOOKUP(D22,$A$11:$G$16,6,0),"ok","erro")</f>
        <v>ok</v>
      </c>
      <c r="N33" s="149" t="str">
        <f aca="true" t="shared" si="19" ref="N33:N38">IF((H22-VLOOKUP(D22,$A$11:$G$16,2,0))&gt;VLOOKUP(D22,$A$11:$G$16,6,0),"ok","erro")</f>
        <v>ok</v>
      </c>
      <c r="P33" s="60"/>
      <c r="Q33" s="60"/>
      <c r="R33" s="62"/>
      <c r="S33" s="61">
        <f aca="true" t="shared" si="20" ref="S33:S38">TRUNC(IF(D22="",0,((M22+N22)/2)*(VLOOKUP(D22,$A$11:$G$16,2,0)+VLOOKUP(D22,$A$11:$G$16,5,0))),2)</f>
        <v>1.06</v>
      </c>
      <c r="T33" s="57">
        <f aca="true" t="shared" si="21" ref="T33:T38">TRUNC(IF(D22="",0,((P22+Q22)/2)*(VLOOKUP(D22,$A$11:$G$16,2,0)+VLOOKUP(D22,$A$11:$G$16,5,0))),2)</f>
        <v>1.06</v>
      </c>
      <c r="U33" s="58">
        <f aca="true" t="shared" si="22" ref="U33:U38">AVERAGE(S33:T33)</f>
        <v>1.06</v>
      </c>
      <c r="V33" s="54"/>
      <c r="W33" s="54"/>
    </row>
    <row r="34" spans="1:23" ht="12.75" customHeight="1">
      <c r="A34" s="229" t="str">
        <f t="shared" si="11"/>
        <v>TR 02 - </v>
      </c>
      <c r="B34" s="229"/>
      <c r="C34" s="229"/>
      <c r="D34" s="61">
        <f t="shared" si="12"/>
        <v>26.91</v>
      </c>
      <c r="E34" s="70">
        <f t="shared" si="13"/>
        <v>24.21</v>
      </c>
      <c r="F34" s="61">
        <f t="shared" si="14"/>
        <v>2.7</v>
      </c>
      <c r="G34" s="58">
        <f t="shared" si="15"/>
        <v>2.35</v>
      </c>
      <c r="H34" s="58">
        <f t="shared" si="16"/>
        <v>16.64</v>
      </c>
      <c r="I34" s="58">
        <f t="shared" si="17"/>
        <v>11.43</v>
      </c>
      <c r="J34" s="58">
        <f>D34-I34-G34</f>
        <v>13.13</v>
      </c>
      <c r="K34" s="59"/>
      <c r="M34" s="149" t="str">
        <f t="shared" si="18"/>
        <v>ok</v>
      </c>
      <c r="N34" s="149" t="str">
        <f t="shared" si="19"/>
        <v>ok</v>
      </c>
      <c r="P34" s="60"/>
      <c r="Q34" s="60"/>
      <c r="R34" s="62"/>
      <c r="S34" s="61">
        <f t="shared" si="20"/>
        <v>1.06</v>
      </c>
      <c r="T34" s="57">
        <f t="shared" si="21"/>
        <v>1.06</v>
      </c>
      <c r="U34" s="58">
        <f t="shared" si="22"/>
        <v>1.06</v>
      </c>
      <c r="V34" s="54"/>
      <c r="W34" s="54"/>
    </row>
    <row r="35" spans="1:21" ht="12.75" customHeight="1">
      <c r="A35" s="229" t="str">
        <f t="shared" si="11"/>
        <v>TR 03 - </v>
      </c>
      <c r="B35" s="229"/>
      <c r="C35" s="229"/>
      <c r="D35" s="61">
        <f t="shared" si="12"/>
        <v>28.98</v>
      </c>
      <c r="E35" s="70">
        <f t="shared" si="13"/>
        <v>26.08</v>
      </c>
      <c r="F35" s="61">
        <f t="shared" si="14"/>
        <v>2.9</v>
      </c>
      <c r="G35" s="58">
        <f t="shared" si="15"/>
        <v>2.53</v>
      </c>
      <c r="H35" s="58">
        <f t="shared" si="16"/>
        <v>17.92</v>
      </c>
      <c r="I35" s="58">
        <f t="shared" si="17"/>
        <v>12.31</v>
      </c>
      <c r="J35" s="58">
        <f>D35-I35-G35</f>
        <v>14.14</v>
      </c>
      <c r="K35" s="59"/>
      <c r="M35" s="149" t="str">
        <f t="shared" si="18"/>
        <v>ok</v>
      </c>
      <c r="N35" s="149" t="str">
        <f t="shared" si="19"/>
        <v>ok</v>
      </c>
      <c r="P35" s="60"/>
      <c r="Q35" s="60"/>
      <c r="R35" s="62"/>
      <c r="S35" s="61">
        <f t="shared" si="20"/>
        <v>1.06</v>
      </c>
      <c r="T35" s="57">
        <f t="shared" si="21"/>
        <v>1.06</v>
      </c>
      <c r="U35" s="58">
        <f t="shared" si="22"/>
        <v>1.06</v>
      </c>
    </row>
    <row r="36" spans="1:21" ht="12.75" customHeight="1">
      <c r="A36" s="229" t="str">
        <f t="shared" si="11"/>
        <v>TR 04 - </v>
      </c>
      <c r="B36" s="229"/>
      <c r="C36" s="229"/>
      <c r="D36" s="61">
        <f t="shared" si="12"/>
        <v>26.91</v>
      </c>
      <c r="E36" s="70">
        <f t="shared" si="13"/>
        <v>24.21</v>
      </c>
      <c r="F36" s="61">
        <f t="shared" si="14"/>
        <v>2.7</v>
      </c>
      <c r="G36" s="58">
        <f t="shared" si="15"/>
        <v>2.35</v>
      </c>
      <c r="H36" s="58">
        <f t="shared" si="16"/>
        <v>16.64</v>
      </c>
      <c r="I36" s="58">
        <f t="shared" si="17"/>
        <v>11.43</v>
      </c>
      <c r="J36" s="58">
        <f>D36-I36-G36</f>
        <v>13.13</v>
      </c>
      <c r="K36" s="59"/>
      <c r="M36" s="149" t="str">
        <f t="shared" si="18"/>
        <v>ok</v>
      </c>
      <c r="N36" s="149" t="str">
        <f t="shared" si="19"/>
        <v>ok</v>
      </c>
      <c r="P36" s="60"/>
      <c r="Q36" s="60"/>
      <c r="R36" s="62"/>
      <c r="S36" s="61">
        <f t="shared" si="20"/>
        <v>1.06</v>
      </c>
      <c r="T36" s="57">
        <f t="shared" si="21"/>
        <v>1.06</v>
      </c>
      <c r="U36" s="58">
        <f t="shared" si="22"/>
        <v>1.06</v>
      </c>
    </row>
    <row r="37" spans="1:21" ht="12.75">
      <c r="A37" s="252" t="str">
        <f t="shared" si="11"/>
        <v>TR 06 - </v>
      </c>
      <c r="B37" s="253"/>
      <c r="C37" s="254"/>
      <c r="D37" s="61">
        <f t="shared" si="12"/>
        <v>51.2</v>
      </c>
      <c r="E37" s="70">
        <f t="shared" si="13"/>
        <v>46.08</v>
      </c>
      <c r="F37" s="61">
        <f t="shared" si="14"/>
        <v>5.12</v>
      </c>
      <c r="G37" s="58">
        <f t="shared" si="15"/>
        <v>6.51</v>
      </c>
      <c r="H37" s="58">
        <f t="shared" si="16"/>
        <v>27.52</v>
      </c>
      <c r="I37" s="58">
        <f t="shared" si="17"/>
        <v>23.41</v>
      </c>
      <c r="J37" s="58">
        <f>D37-I37-G37</f>
        <v>21.28</v>
      </c>
      <c r="K37" s="59"/>
      <c r="M37" s="149" t="str">
        <f t="shared" si="18"/>
        <v>ok</v>
      </c>
      <c r="N37" s="149" t="str">
        <f t="shared" si="19"/>
        <v>ok</v>
      </c>
      <c r="P37" s="60"/>
      <c r="Q37" s="60"/>
      <c r="R37" s="62"/>
      <c r="S37" s="61">
        <f t="shared" si="20"/>
        <v>1.87</v>
      </c>
      <c r="T37" s="57">
        <f t="shared" si="21"/>
        <v>1.87</v>
      </c>
      <c r="U37" s="58">
        <f t="shared" si="22"/>
        <v>1.87</v>
      </c>
    </row>
    <row r="38" spans="1:24" ht="12.75" customHeight="1">
      <c r="A38" s="229" t="str">
        <f t="shared" si="11"/>
        <v>Ramais</v>
      </c>
      <c r="B38" s="229"/>
      <c r="C38" s="229"/>
      <c r="D38" s="61">
        <f t="shared" si="12"/>
        <v>0</v>
      </c>
      <c r="E38" s="70">
        <f t="shared" si="13"/>
        <v>0</v>
      </c>
      <c r="F38" s="61">
        <f t="shared" si="14"/>
        <v>0</v>
      </c>
      <c r="G38" s="58">
        <f t="shared" si="15"/>
        <v>0</v>
      </c>
      <c r="H38" s="58">
        <f t="shared" si="16"/>
        <v>0</v>
      </c>
      <c r="I38" s="58">
        <f t="shared" si="17"/>
        <v>0</v>
      </c>
      <c r="J38" s="58">
        <f>D38-I38-G38</f>
        <v>0</v>
      </c>
      <c r="K38" s="59"/>
      <c r="M38" s="149" t="str">
        <f t="shared" si="18"/>
        <v>ok</v>
      </c>
      <c r="N38" s="149" t="str">
        <f t="shared" si="19"/>
        <v>ok</v>
      </c>
      <c r="P38" s="60"/>
      <c r="Q38" s="60"/>
      <c r="R38" s="62"/>
      <c r="S38" s="61">
        <f t="shared" si="20"/>
        <v>1.06</v>
      </c>
      <c r="T38" s="57">
        <f t="shared" si="21"/>
        <v>1.06</v>
      </c>
      <c r="U38" s="58">
        <f t="shared" si="22"/>
        <v>1.06</v>
      </c>
      <c r="X38" s="67"/>
    </row>
    <row r="39" spans="1:22" ht="12.75" customHeight="1">
      <c r="A39" s="245" t="s">
        <v>7</v>
      </c>
      <c r="B39" s="245"/>
      <c r="C39" s="245"/>
      <c r="D39" s="63">
        <f aca="true" t="shared" si="23" ref="D39:J39">SUM(D33:D38)</f>
        <v>187.82</v>
      </c>
      <c r="E39" s="63">
        <f t="shared" si="23"/>
        <v>169.01</v>
      </c>
      <c r="F39" s="63">
        <f t="shared" si="23"/>
        <v>18.81</v>
      </c>
      <c r="G39" s="63">
        <f t="shared" si="23"/>
        <v>18.44</v>
      </c>
      <c r="H39" s="63">
        <f t="shared" si="23"/>
        <v>112</v>
      </c>
      <c r="I39" s="63">
        <f t="shared" si="23"/>
        <v>81.44</v>
      </c>
      <c r="J39" s="63">
        <f t="shared" si="23"/>
        <v>92.64</v>
      </c>
      <c r="K39" s="69"/>
      <c r="L39" s="69"/>
      <c r="M39" s="69"/>
      <c r="P39" s="60"/>
      <c r="Q39" s="60"/>
      <c r="R39" s="255"/>
      <c r="S39" s="255"/>
      <c r="V39" s="60"/>
    </row>
    <row r="40" spans="1:22" ht="12.7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60"/>
      <c r="L40" s="64"/>
      <c r="M40" s="64"/>
      <c r="N40" s="64"/>
      <c r="O40" s="52"/>
      <c r="P40" s="52"/>
      <c r="Q40" s="52"/>
      <c r="R40" s="52"/>
      <c r="S40" s="52"/>
      <c r="T40" s="52"/>
      <c r="U40" s="52"/>
      <c r="V40" s="60"/>
    </row>
    <row r="41" spans="1:22" ht="12.75">
      <c r="A41" s="233" t="s">
        <v>326</v>
      </c>
      <c r="B41" s="233"/>
      <c r="C41" s="233"/>
      <c r="D41" s="233"/>
      <c r="E41" s="233"/>
      <c r="F41" s="233"/>
      <c r="G41" s="233"/>
      <c r="H41" s="23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60"/>
    </row>
    <row r="42" spans="1:24" ht="12.75" customHeight="1">
      <c r="A42" s="245" t="s">
        <v>34</v>
      </c>
      <c r="B42" s="245"/>
      <c r="C42" s="245"/>
      <c r="D42" s="245" t="s">
        <v>327</v>
      </c>
      <c r="E42" s="245"/>
      <c r="F42" s="245"/>
      <c r="G42" s="245"/>
      <c r="H42" s="57"/>
      <c r="I42" s="266" t="s">
        <v>285</v>
      </c>
      <c r="J42" s="267"/>
      <c r="K42" s="54"/>
      <c r="M42" s="52"/>
      <c r="N42" s="52"/>
      <c r="O42" s="52"/>
      <c r="P42" s="52"/>
      <c r="Q42" s="52"/>
      <c r="R42" s="52"/>
      <c r="S42" s="52"/>
      <c r="T42" s="52"/>
      <c r="U42" s="52"/>
      <c r="V42" s="54"/>
      <c r="W42" s="54"/>
      <c r="X42" s="52"/>
    </row>
    <row r="43" spans="1:24" ht="12.75" customHeight="1">
      <c r="A43" s="245"/>
      <c r="B43" s="245"/>
      <c r="C43" s="245"/>
      <c r="D43" s="55">
        <v>400</v>
      </c>
      <c r="E43" s="55">
        <v>600</v>
      </c>
      <c r="F43" s="55">
        <v>800</v>
      </c>
      <c r="G43" s="55">
        <v>1000</v>
      </c>
      <c r="H43" s="55" t="s">
        <v>8</v>
      </c>
      <c r="I43" s="55" t="s">
        <v>286</v>
      </c>
      <c r="J43" s="55" t="s">
        <v>287</v>
      </c>
      <c r="K43" s="56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12.75" customHeight="1">
      <c r="A44" s="245"/>
      <c r="B44" s="245"/>
      <c r="C44" s="245"/>
      <c r="D44" s="55" t="s">
        <v>10</v>
      </c>
      <c r="E44" s="55" t="s">
        <v>10</v>
      </c>
      <c r="F44" s="55" t="s">
        <v>10</v>
      </c>
      <c r="G44" s="55" t="s">
        <v>10</v>
      </c>
      <c r="H44" s="55" t="s">
        <v>10</v>
      </c>
      <c r="I44" s="55" t="s">
        <v>288</v>
      </c>
      <c r="J44" s="55" t="s">
        <v>13</v>
      </c>
      <c r="K44" s="56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12.75" customHeight="1">
      <c r="A45" s="229" t="str">
        <f aca="true" t="shared" si="24" ref="A45:A50">A22</f>
        <v>TR 01 - Rua Octaviano dos Santos</v>
      </c>
      <c r="B45" s="229"/>
      <c r="C45" s="229"/>
      <c r="D45" s="70">
        <f aca="true" t="shared" si="25" ref="D45:D50">IF(E22=0,0,ROUNDUP(IF(D22=$D$43,E22,0),0))</f>
        <v>26</v>
      </c>
      <c r="E45" s="70">
        <f>IF(E22=0,0,ROUNDUP(IF(D22=$E$43,(E22-2),0),0))</f>
        <v>0</v>
      </c>
      <c r="F45" s="70">
        <f aca="true" t="shared" si="26" ref="F45:F50">IF(E22=0,0,ROUNDUP(IF($F$43=D22,(E22-2),0),0))</f>
        <v>0</v>
      </c>
      <c r="G45" s="70">
        <f aca="true" t="shared" si="27" ref="G45:G50">IF(E22=0,0,ROUNDUP(IF(D22=$G$43,(E22-2),0),0))</f>
        <v>0</v>
      </c>
      <c r="H45" s="70">
        <f aca="true" t="shared" si="28" ref="H45:H50">SUM(D45:G45)</f>
        <v>26</v>
      </c>
      <c r="I45" s="70">
        <f aca="true" t="shared" si="29" ref="I45:I50">IF(D22="",0,VLOOKUP(D22,$A$11:$G$16,7,0))</f>
        <v>0.22</v>
      </c>
      <c r="J45" s="70">
        <f aca="true" t="shared" si="30" ref="J45:J50">TRUNC(H45*I45*$C$52,2)</f>
        <v>715</v>
      </c>
      <c r="K45" s="14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12.75" customHeight="1">
      <c r="A46" s="229" t="str">
        <f t="shared" si="24"/>
        <v>TR 02 - </v>
      </c>
      <c r="B46" s="229"/>
      <c r="C46" s="229"/>
      <c r="D46" s="70">
        <f t="shared" si="25"/>
        <v>13</v>
      </c>
      <c r="E46" s="70">
        <f>IF(E23=0,0,ROUNDUP(IF(D23=$E$43,(E23-2),0),0))</f>
        <v>0</v>
      </c>
      <c r="F46" s="70">
        <f t="shared" si="26"/>
        <v>0</v>
      </c>
      <c r="G46" s="70">
        <f t="shared" si="27"/>
        <v>0</v>
      </c>
      <c r="H46" s="70">
        <f t="shared" si="28"/>
        <v>13</v>
      </c>
      <c r="I46" s="70">
        <f t="shared" si="29"/>
        <v>0.22</v>
      </c>
      <c r="J46" s="70">
        <f t="shared" si="30"/>
        <v>357.5</v>
      </c>
      <c r="K46" s="14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12.75" customHeight="1">
      <c r="A47" s="229" t="str">
        <f t="shared" si="24"/>
        <v>TR 03 - </v>
      </c>
      <c r="B47" s="229"/>
      <c r="C47" s="229"/>
      <c r="D47" s="70">
        <f t="shared" si="25"/>
        <v>14</v>
      </c>
      <c r="E47" s="70">
        <f>IF(E24=0,0,ROUNDUP(IF(D24=$E$43,(E24-2),0),0))</f>
        <v>0</v>
      </c>
      <c r="F47" s="70">
        <f t="shared" si="26"/>
        <v>0</v>
      </c>
      <c r="G47" s="70">
        <f t="shared" si="27"/>
        <v>0</v>
      </c>
      <c r="H47" s="70">
        <f t="shared" si="28"/>
        <v>14</v>
      </c>
      <c r="I47" s="70">
        <f t="shared" si="29"/>
        <v>0.22</v>
      </c>
      <c r="J47" s="70">
        <f t="shared" si="30"/>
        <v>385</v>
      </c>
      <c r="K47" s="14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12.75" customHeight="1">
      <c r="A48" s="229" t="str">
        <f t="shared" si="24"/>
        <v>TR 04 - </v>
      </c>
      <c r="B48" s="229"/>
      <c r="C48" s="229"/>
      <c r="D48" s="70">
        <f t="shared" si="25"/>
        <v>13</v>
      </c>
      <c r="E48" s="70">
        <f>IF(E25=0,0,ROUNDUP(IF(D25=$E$43,(E25-2),0),0))</f>
        <v>0</v>
      </c>
      <c r="F48" s="70">
        <f t="shared" si="26"/>
        <v>0</v>
      </c>
      <c r="G48" s="70">
        <f t="shared" si="27"/>
        <v>0</v>
      </c>
      <c r="H48" s="70">
        <f t="shared" si="28"/>
        <v>13</v>
      </c>
      <c r="I48" s="70">
        <f t="shared" si="29"/>
        <v>0.22</v>
      </c>
      <c r="J48" s="70">
        <f t="shared" si="30"/>
        <v>357.5</v>
      </c>
      <c r="K48" s="149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12.75" customHeight="1">
      <c r="A49" s="229" t="str">
        <f t="shared" si="24"/>
        <v>TR 06 - </v>
      </c>
      <c r="B49" s="229"/>
      <c r="C49" s="229"/>
      <c r="D49" s="70">
        <f t="shared" si="25"/>
        <v>0</v>
      </c>
      <c r="E49" s="70">
        <v>16</v>
      </c>
      <c r="F49" s="70">
        <f t="shared" si="26"/>
        <v>0</v>
      </c>
      <c r="G49" s="70">
        <f t="shared" si="27"/>
        <v>0</v>
      </c>
      <c r="H49" s="70">
        <f t="shared" si="28"/>
        <v>16</v>
      </c>
      <c r="I49" s="70">
        <f t="shared" si="29"/>
        <v>0.43</v>
      </c>
      <c r="J49" s="70">
        <f t="shared" si="30"/>
        <v>860</v>
      </c>
      <c r="K49" s="149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1" ht="12.75">
      <c r="A50" s="229" t="str">
        <f t="shared" si="24"/>
        <v>Ramais</v>
      </c>
      <c r="B50" s="229"/>
      <c r="C50" s="229"/>
      <c r="D50" s="70">
        <f t="shared" si="25"/>
        <v>0</v>
      </c>
      <c r="E50" s="70">
        <f>IF(E27=0,0,ROUNDUP(IF(D27=$E$43,(E27-2),0),0))</f>
        <v>0</v>
      </c>
      <c r="F50" s="70">
        <f t="shared" si="26"/>
        <v>0</v>
      </c>
      <c r="G50" s="70">
        <f t="shared" si="27"/>
        <v>0</v>
      </c>
      <c r="H50" s="70">
        <f t="shared" si="28"/>
        <v>0</v>
      </c>
      <c r="I50" s="70">
        <f t="shared" si="29"/>
        <v>0.22</v>
      </c>
      <c r="J50" s="70">
        <f t="shared" si="30"/>
        <v>0</v>
      </c>
      <c r="K50" s="149"/>
      <c r="M50" s="52"/>
      <c r="N50" s="52"/>
      <c r="O50" s="52"/>
      <c r="P50" s="52"/>
      <c r="Q50" s="52"/>
      <c r="R50" s="52"/>
      <c r="S50" s="52"/>
      <c r="T50" s="52"/>
      <c r="U50" s="52"/>
    </row>
    <row r="51" spans="1:21" ht="12.75">
      <c r="A51" s="245" t="s">
        <v>7</v>
      </c>
      <c r="B51" s="245"/>
      <c r="C51" s="245"/>
      <c r="D51" s="63">
        <f>SUM(D45:D50)</f>
        <v>66</v>
      </c>
      <c r="E51" s="63">
        <f>SUM(E45:E50)</f>
        <v>16</v>
      </c>
      <c r="F51" s="63">
        <f>SUM(F45:F50)</f>
        <v>0</v>
      </c>
      <c r="G51" s="63">
        <f>SUM(G45:G50)</f>
        <v>0</v>
      </c>
      <c r="H51" s="63">
        <f>SUM(H45:H50)</f>
        <v>82</v>
      </c>
      <c r="I51" s="232">
        <f>SUM(J45:J50)</f>
        <v>2675</v>
      </c>
      <c r="J51" s="232"/>
      <c r="K51" s="188"/>
      <c r="M51" s="52"/>
      <c r="N51" s="52"/>
      <c r="O51" s="52"/>
      <c r="P51" s="52"/>
      <c r="Q51" s="52"/>
      <c r="R51" s="52"/>
      <c r="S51" s="52"/>
      <c r="T51" s="52"/>
      <c r="U51" s="52"/>
    </row>
    <row r="52" spans="1:21" ht="12.75">
      <c r="A52" s="248" t="s">
        <v>328</v>
      </c>
      <c r="B52" s="248"/>
      <c r="C52" s="157">
        <v>125</v>
      </c>
      <c r="D52" s="239" t="s">
        <v>49</v>
      </c>
      <c r="E52" s="239"/>
      <c r="F52" s="239"/>
      <c r="G52" s="239"/>
      <c r="H52" s="239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12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60"/>
      <c r="M53" s="52"/>
      <c r="N53" s="52"/>
      <c r="O53" s="52"/>
      <c r="P53" s="52"/>
      <c r="Q53" s="52"/>
      <c r="R53" s="52"/>
      <c r="S53" s="52"/>
      <c r="T53" s="52"/>
      <c r="U53" s="52"/>
    </row>
    <row r="54" spans="1:21" ht="13.5" customHeight="1">
      <c r="A54" s="233" t="s">
        <v>329</v>
      </c>
      <c r="B54" s="233"/>
      <c r="C54" s="233"/>
      <c r="D54" s="233"/>
      <c r="E54" s="233"/>
      <c r="F54" s="233"/>
      <c r="G54" s="258"/>
      <c r="H54" s="258"/>
      <c r="I54" s="258"/>
      <c r="J54" s="258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19" ht="12.75">
      <c r="A55" s="245" t="s">
        <v>45</v>
      </c>
      <c r="B55" s="245"/>
      <c r="C55" s="245"/>
      <c r="D55" s="245" t="s">
        <v>55</v>
      </c>
      <c r="E55" s="245" t="s">
        <v>46</v>
      </c>
      <c r="F55" s="245" t="s">
        <v>239</v>
      </c>
      <c r="G55" s="258"/>
      <c r="H55" s="258"/>
      <c r="I55" s="258"/>
      <c r="J55" s="258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.75">
      <c r="A56" s="245"/>
      <c r="B56" s="245"/>
      <c r="C56" s="245"/>
      <c r="D56" s="245"/>
      <c r="E56" s="245"/>
      <c r="F56" s="245"/>
      <c r="G56" s="258"/>
      <c r="H56" s="258"/>
      <c r="I56" s="258"/>
      <c r="J56" s="258"/>
      <c r="K56" s="60"/>
      <c r="L56" s="54"/>
      <c r="M56" s="56"/>
      <c r="N56" s="54"/>
      <c r="O56" s="54"/>
      <c r="P56" s="54"/>
      <c r="Q56" s="54"/>
      <c r="R56" s="54"/>
      <c r="S56" s="56"/>
    </row>
    <row r="57" spans="1:19" ht="12.75">
      <c r="A57" s="245"/>
      <c r="B57" s="245"/>
      <c r="C57" s="245"/>
      <c r="D57" s="245"/>
      <c r="E57" s="245"/>
      <c r="F57" s="55" t="s">
        <v>10</v>
      </c>
      <c r="G57" s="258"/>
      <c r="H57" s="258"/>
      <c r="I57" s="258"/>
      <c r="J57" s="258"/>
      <c r="K57" s="60"/>
      <c r="L57" s="54"/>
      <c r="M57" s="56"/>
      <c r="N57" s="54"/>
      <c r="O57" s="54"/>
      <c r="P57" s="54"/>
      <c r="Q57" s="54"/>
      <c r="R57" s="54"/>
      <c r="S57" s="56"/>
    </row>
    <row r="58" spans="1:19" ht="12.75">
      <c r="A58" s="229" t="s">
        <v>203</v>
      </c>
      <c r="B58" s="229"/>
      <c r="C58" s="229"/>
      <c r="D58" s="57" t="s">
        <v>19</v>
      </c>
      <c r="E58" s="58">
        <v>4</v>
      </c>
      <c r="F58" s="70">
        <v>0</v>
      </c>
      <c r="G58" s="258"/>
      <c r="H58" s="258"/>
      <c r="I58" s="258"/>
      <c r="J58" s="258"/>
      <c r="K58" s="60"/>
      <c r="L58" s="64"/>
      <c r="M58" s="62"/>
      <c r="N58" s="65"/>
      <c r="O58" s="66"/>
      <c r="P58" s="66"/>
      <c r="Q58" s="66"/>
      <c r="R58" s="66"/>
      <c r="S58" s="64"/>
    </row>
    <row r="59" spans="1:19" ht="12.75">
      <c r="A59" s="229" t="s">
        <v>48</v>
      </c>
      <c r="B59" s="229"/>
      <c r="C59" s="229"/>
      <c r="D59" s="57" t="s">
        <v>19</v>
      </c>
      <c r="E59" s="58">
        <v>1</v>
      </c>
      <c r="F59" s="70">
        <v>0</v>
      </c>
      <c r="G59" s="258"/>
      <c r="H59" s="258"/>
      <c r="I59" s="258"/>
      <c r="J59" s="258"/>
      <c r="K59" s="60"/>
      <c r="L59" s="64"/>
      <c r="M59" s="62"/>
      <c r="N59" s="66"/>
      <c r="O59" s="66"/>
      <c r="P59" s="66"/>
      <c r="Q59" s="66"/>
      <c r="R59" s="66"/>
      <c r="S59" s="64"/>
    </row>
    <row r="60" spans="1:19" ht="12.75" hidden="1">
      <c r="A60" s="229" t="s">
        <v>330</v>
      </c>
      <c r="B60" s="229"/>
      <c r="C60" s="229"/>
      <c r="D60" s="57" t="s">
        <v>19</v>
      </c>
      <c r="E60" s="58">
        <v>0</v>
      </c>
      <c r="F60" s="70">
        <v>0</v>
      </c>
      <c r="G60" s="258"/>
      <c r="H60" s="258"/>
      <c r="I60" s="258"/>
      <c r="J60" s="258"/>
      <c r="K60" s="60"/>
      <c r="L60" s="64"/>
      <c r="M60" s="62"/>
      <c r="N60" s="66"/>
      <c r="O60" s="66"/>
      <c r="P60" s="66"/>
      <c r="Q60" s="66"/>
      <c r="R60" s="66"/>
      <c r="S60" s="64"/>
    </row>
    <row r="61" spans="1:19" ht="12.75">
      <c r="A61" s="229" t="s">
        <v>54</v>
      </c>
      <c r="B61" s="229"/>
      <c r="C61" s="229"/>
      <c r="D61" s="57" t="s">
        <v>19</v>
      </c>
      <c r="E61" s="58">
        <v>2</v>
      </c>
      <c r="F61" s="70">
        <f>E61*0.55</f>
        <v>1.1</v>
      </c>
      <c r="G61" s="258"/>
      <c r="H61" s="258"/>
      <c r="I61" s="258"/>
      <c r="J61" s="258"/>
      <c r="K61" s="60"/>
      <c r="L61" s="64"/>
      <c r="M61" s="62"/>
      <c r="N61" s="66"/>
      <c r="O61" s="66"/>
      <c r="P61" s="66"/>
      <c r="Q61" s="66"/>
      <c r="R61" s="66"/>
      <c r="S61" s="64"/>
    </row>
    <row r="62" spans="1:20" ht="12.75">
      <c r="A62" s="245" t="s">
        <v>7</v>
      </c>
      <c r="B62" s="245"/>
      <c r="C62" s="245"/>
      <c r="D62" s="247"/>
      <c r="E62" s="247"/>
      <c r="F62" s="158">
        <f>SUM(F58:F61)</f>
        <v>1.1</v>
      </c>
      <c r="G62" s="258"/>
      <c r="H62" s="258"/>
      <c r="I62" s="258"/>
      <c r="J62" s="258"/>
      <c r="L62" s="64"/>
      <c r="M62" s="64"/>
      <c r="N62" s="64"/>
      <c r="O62" s="60"/>
      <c r="P62" s="60"/>
      <c r="Q62" s="60"/>
      <c r="R62" s="60"/>
      <c r="S62" s="60"/>
      <c r="T62" s="60"/>
    </row>
    <row r="63" spans="1:20" ht="12.7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60"/>
      <c r="L63" s="64"/>
      <c r="M63" s="64"/>
      <c r="N63" s="64"/>
      <c r="O63" s="64"/>
      <c r="P63" s="64"/>
      <c r="Q63" s="64"/>
      <c r="R63" s="64"/>
      <c r="S63" s="64"/>
      <c r="T63" s="60"/>
    </row>
    <row r="64" spans="1:20" ht="12.75" hidden="1">
      <c r="A64" s="233" t="s">
        <v>352</v>
      </c>
      <c r="B64" s="233"/>
      <c r="C64" s="233"/>
      <c r="D64" s="233"/>
      <c r="E64" s="233"/>
      <c r="F64" s="233"/>
      <c r="G64" s="233"/>
      <c r="H64" s="233"/>
      <c r="I64" s="233"/>
      <c r="J64" s="233"/>
      <c r="K64" s="185"/>
      <c r="L64" s="64"/>
      <c r="M64" s="64"/>
      <c r="N64" s="64"/>
      <c r="O64" s="64"/>
      <c r="P64" s="64"/>
      <c r="Q64" s="64"/>
      <c r="R64" s="64"/>
      <c r="S64" s="64"/>
      <c r="T64" s="60"/>
    </row>
    <row r="65" spans="1:20" ht="13.5" customHeight="1" hidden="1">
      <c r="A65" s="228" t="s">
        <v>34</v>
      </c>
      <c r="B65" s="228"/>
      <c r="C65" s="228"/>
      <c r="D65" s="228" t="s">
        <v>349</v>
      </c>
      <c r="E65" s="228" t="s">
        <v>350</v>
      </c>
      <c r="F65" s="228" t="s">
        <v>47</v>
      </c>
      <c r="G65" s="228" t="s">
        <v>152</v>
      </c>
      <c r="H65" s="228" t="s">
        <v>289</v>
      </c>
      <c r="I65" s="228" t="s">
        <v>153</v>
      </c>
      <c r="J65" s="228" t="s">
        <v>154</v>
      </c>
      <c r="K65" s="189"/>
      <c r="L65" s="64"/>
      <c r="M65" s="64"/>
      <c r="N65" s="64"/>
      <c r="O65" s="64"/>
      <c r="P65" s="64"/>
      <c r="Q65" s="64"/>
      <c r="R65" s="64"/>
      <c r="S65" s="64"/>
      <c r="T65" s="60"/>
    </row>
    <row r="66" spans="1:20" ht="12.75" hidden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189"/>
      <c r="L66" s="64"/>
      <c r="M66" s="64"/>
      <c r="N66" s="64"/>
      <c r="O66" s="64"/>
      <c r="P66" s="64"/>
      <c r="Q66" s="64"/>
      <c r="R66" s="64"/>
      <c r="S66" s="64"/>
      <c r="T66" s="60"/>
    </row>
    <row r="67" spans="1:20" ht="12.75" hidden="1">
      <c r="A67" s="228"/>
      <c r="B67" s="228"/>
      <c r="C67" s="228"/>
      <c r="D67" s="161" t="s">
        <v>12</v>
      </c>
      <c r="E67" s="161" t="s">
        <v>31</v>
      </c>
      <c r="F67" s="161" t="s">
        <v>10</v>
      </c>
      <c r="G67" s="161" t="s">
        <v>11</v>
      </c>
      <c r="H67" s="161" t="s">
        <v>198</v>
      </c>
      <c r="I67" s="161" t="s">
        <v>28</v>
      </c>
      <c r="J67" s="161" t="s">
        <v>13</v>
      </c>
      <c r="K67" s="189"/>
      <c r="L67" s="64"/>
      <c r="M67" s="64"/>
      <c r="N67" s="64"/>
      <c r="O67" s="64"/>
      <c r="P67" s="64"/>
      <c r="Q67" s="64"/>
      <c r="R67" s="64"/>
      <c r="S67" s="64"/>
      <c r="T67" s="60"/>
    </row>
    <row r="68" spans="1:20" ht="12.75" hidden="1">
      <c r="A68" s="234" t="e">
        <f>#REF!</f>
        <v>#REF!</v>
      </c>
      <c r="B68" s="234"/>
      <c r="C68" s="234"/>
      <c r="D68" s="162" t="e">
        <f>F68</f>
        <v>#REF!</v>
      </c>
      <c r="E68" s="162" t="e">
        <f aca="true" t="shared" si="31" ref="E68:E74">D68*$G$79*$C$80</f>
        <v>#REF!</v>
      </c>
      <c r="F68" s="162" t="e">
        <f>TRUNC(#REF!*($C$77/100),2)</f>
        <v>#REF!</v>
      </c>
      <c r="G68" s="162" t="e">
        <f>#REF!</f>
        <v>#REF!</v>
      </c>
      <c r="H68" s="162" t="e">
        <f aca="true" t="shared" si="32" ref="H68:H74">TRUNC(((((G68*$G$76)/1000)/$G$78)*$C$79),2)</f>
        <v>#REF!</v>
      </c>
      <c r="I68" s="162" t="e">
        <f>TRUNC(G68*($C$76/100)*$G$77,2)</f>
        <v>#REF!</v>
      </c>
      <c r="J68" s="162" t="e">
        <f aca="true" t="shared" si="33" ref="J68:J74">TRUNC(I68*$C$78,2)</f>
        <v>#REF!</v>
      </c>
      <c r="K68" s="125"/>
      <c r="L68" s="64"/>
      <c r="M68" s="64"/>
      <c r="N68" s="64"/>
      <c r="O68" s="64"/>
      <c r="P68" s="64"/>
      <c r="Q68" s="64"/>
      <c r="R68" s="64"/>
      <c r="S68" s="64"/>
      <c r="T68" s="60"/>
    </row>
    <row r="69" spans="1:20" ht="12.75" hidden="1">
      <c r="A69" s="234" t="e">
        <f>#REF!</f>
        <v>#REF!</v>
      </c>
      <c r="B69" s="234"/>
      <c r="C69" s="234"/>
      <c r="D69" s="162" t="e">
        <f aca="true" t="shared" si="34" ref="D69:D74">F69</f>
        <v>#REF!</v>
      </c>
      <c r="E69" s="162" t="e">
        <f t="shared" si="31"/>
        <v>#REF!</v>
      </c>
      <c r="F69" s="162" t="e">
        <f>TRUNC(#REF!*($C$77/100),2)</f>
        <v>#REF!</v>
      </c>
      <c r="G69" s="162" t="e">
        <f>#REF!</f>
        <v>#REF!</v>
      </c>
      <c r="H69" s="162" t="e">
        <f t="shared" si="32"/>
        <v>#REF!</v>
      </c>
      <c r="I69" s="162" t="e">
        <f aca="true" t="shared" si="35" ref="I69:I74">TRUNC(G69*($C$76/100)*$G$77,2)</f>
        <v>#REF!</v>
      </c>
      <c r="J69" s="162" t="e">
        <f t="shared" si="33"/>
        <v>#REF!</v>
      </c>
      <c r="K69" s="125"/>
      <c r="L69" s="64"/>
      <c r="M69" s="64"/>
      <c r="N69" s="64"/>
      <c r="O69" s="64"/>
      <c r="P69" s="64"/>
      <c r="Q69" s="64"/>
      <c r="R69" s="64"/>
      <c r="S69" s="64"/>
      <c r="T69" s="60"/>
    </row>
    <row r="70" spans="1:20" ht="13.5" customHeight="1" hidden="1">
      <c r="A70" s="234" t="e">
        <f>#REF!</f>
        <v>#REF!</v>
      </c>
      <c r="B70" s="234"/>
      <c r="C70" s="234"/>
      <c r="D70" s="162" t="e">
        <f>F70</f>
        <v>#REF!</v>
      </c>
      <c r="E70" s="162" t="e">
        <f t="shared" si="31"/>
        <v>#REF!</v>
      </c>
      <c r="F70" s="162" t="e">
        <f>TRUNC(#REF!*($C$77/100),2)</f>
        <v>#REF!</v>
      </c>
      <c r="G70" s="162" t="e">
        <f>#REF!</f>
        <v>#REF!</v>
      </c>
      <c r="H70" s="162" t="e">
        <f t="shared" si="32"/>
        <v>#REF!</v>
      </c>
      <c r="I70" s="162" t="e">
        <f t="shared" si="35"/>
        <v>#REF!</v>
      </c>
      <c r="J70" s="162" t="e">
        <f t="shared" si="33"/>
        <v>#REF!</v>
      </c>
      <c r="K70" s="125"/>
      <c r="L70" s="64"/>
      <c r="M70" s="64"/>
      <c r="N70" s="64"/>
      <c r="O70" s="64"/>
      <c r="P70" s="64"/>
      <c r="Q70" s="64"/>
      <c r="R70" s="64"/>
      <c r="S70" s="64"/>
      <c r="T70" s="60"/>
    </row>
    <row r="71" spans="1:20" ht="13.5" customHeight="1" hidden="1">
      <c r="A71" s="234" t="e">
        <f>#REF!</f>
        <v>#REF!</v>
      </c>
      <c r="B71" s="234"/>
      <c r="C71" s="234"/>
      <c r="D71" s="162" t="e">
        <f>F71</f>
        <v>#REF!</v>
      </c>
      <c r="E71" s="162" t="e">
        <f t="shared" si="31"/>
        <v>#REF!</v>
      </c>
      <c r="F71" s="162" t="e">
        <f>TRUNC(#REF!*($C$77/100),2)</f>
        <v>#REF!</v>
      </c>
      <c r="G71" s="162" t="e">
        <f>#REF!</f>
        <v>#REF!</v>
      </c>
      <c r="H71" s="162" t="e">
        <f t="shared" si="32"/>
        <v>#REF!</v>
      </c>
      <c r="I71" s="162" t="e">
        <f t="shared" si="35"/>
        <v>#REF!</v>
      </c>
      <c r="J71" s="162" t="e">
        <f t="shared" si="33"/>
        <v>#REF!</v>
      </c>
      <c r="K71" s="125"/>
      <c r="L71" s="64"/>
      <c r="M71" s="64"/>
      <c r="N71" s="64"/>
      <c r="O71" s="64"/>
      <c r="P71" s="64"/>
      <c r="Q71" s="64"/>
      <c r="R71" s="64"/>
      <c r="S71" s="64"/>
      <c r="T71" s="60"/>
    </row>
    <row r="72" spans="1:20" ht="12.75" hidden="1">
      <c r="A72" s="234" t="e">
        <f>#REF!</f>
        <v>#REF!</v>
      </c>
      <c r="B72" s="234"/>
      <c r="C72" s="234"/>
      <c r="D72" s="162" t="e">
        <f t="shared" si="34"/>
        <v>#REF!</v>
      </c>
      <c r="E72" s="162" t="e">
        <f t="shared" si="31"/>
        <v>#REF!</v>
      </c>
      <c r="F72" s="162" t="e">
        <f>TRUNC(#REF!*($C$77/100),2)</f>
        <v>#REF!</v>
      </c>
      <c r="G72" s="162" t="e">
        <f>#REF!</f>
        <v>#REF!</v>
      </c>
      <c r="H72" s="162" t="e">
        <f t="shared" si="32"/>
        <v>#REF!</v>
      </c>
      <c r="I72" s="162" t="e">
        <f t="shared" si="35"/>
        <v>#REF!</v>
      </c>
      <c r="J72" s="162" t="e">
        <f t="shared" si="33"/>
        <v>#REF!</v>
      </c>
      <c r="K72" s="125"/>
      <c r="L72" s="64"/>
      <c r="M72" s="64"/>
      <c r="N72" s="64"/>
      <c r="O72" s="64"/>
      <c r="P72" s="64"/>
      <c r="Q72" s="64"/>
      <c r="R72" s="64"/>
      <c r="S72" s="64"/>
      <c r="T72" s="60"/>
    </row>
    <row r="73" spans="1:20" ht="12.75" hidden="1">
      <c r="A73" s="234" t="e">
        <f>#REF!</f>
        <v>#REF!</v>
      </c>
      <c r="B73" s="234"/>
      <c r="C73" s="234"/>
      <c r="D73" s="162" t="e">
        <f t="shared" si="34"/>
        <v>#REF!</v>
      </c>
      <c r="E73" s="162" t="e">
        <f t="shared" si="31"/>
        <v>#REF!</v>
      </c>
      <c r="F73" s="162" t="e">
        <f>TRUNC(#REF!*($C$77/100),2)</f>
        <v>#REF!</v>
      </c>
      <c r="G73" s="162" t="e">
        <f>#REF!</f>
        <v>#REF!</v>
      </c>
      <c r="H73" s="162" t="e">
        <f t="shared" si="32"/>
        <v>#REF!</v>
      </c>
      <c r="I73" s="162" t="e">
        <f t="shared" si="35"/>
        <v>#REF!</v>
      </c>
      <c r="J73" s="162" t="e">
        <f t="shared" si="33"/>
        <v>#REF!</v>
      </c>
      <c r="K73" s="125"/>
      <c r="L73" s="64"/>
      <c r="M73" s="64"/>
      <c r="N73" s="64"/>
      <c r="O73" s="64"/>
      <c r="P73" s="64"/>
      <c r="Q73" s="64"/>
      <c r="R73" s="64"/>
      <c r="S73" s="64"/>
      <c r="T73" s="60"/>
    </row>
    <row r="74" spans="1:20" ht="12.75" hidden="1">
      <c r="A74" s="234" t="e">
        <f>#REF!</f>
        <v>#REF!</v>
      </c>
      <c r="B74" s="234"/>
      <c r="C74" s="234"/>
      <c r="D74" s="162" t="e">
        <f t="shared" si="34"/>
        <v>#REF!</v>
      </c>
      <c r="E74" s="162" t="e">
        <f t="shared" si="31"/>
        <v>#REF!</v>
      </c>
      <c r="F74" s="162" t="e">
        <f>TRUNC(#REF!*($C$77/100),2)</f>
        <v>#REF!</v>
      </c>
      <c r="G74" s="162" t="e">
        <f>#REF!</f>
        <v>#REF!</v>
      </c>
      <c r="H74" s="162" t="e">
        <f t="shared" si="32"/>
        <v>#REF!</v>
      </c>
      <c r="I74" s="162" t="e">
        <f t="shared" si="35"/>
        <v>#REF!</v>
      </c>
      <c r="J74" s="162" t="e">
        <f t="shared" si="33"/>
        <v>#REF!</v>
      </c>
      <c r="K74" s="125"/>
      <c r="L74" s="64"/>
      <c r="M74" s="64"/>
      <c r="N74" s="64"/>
      <c r="O74" s="64"/>
      <c r="P74" s="64"/>
      <c r="Q74" s="64"/>
      <c r="R74" s="64"/>
      <c r="S74" s="64"/>
      <c r="T74" s="60"/>
    </row>
    <row r="75" spans="1:20" ht="12.75" hidden="1">
      <c r="A75" s="228" t="s">
        <v>7</v>
      </c>
      <c r="B75" s="228"/>
      <c r="C75" s="228"/>
      <c r="D75" s="173" t="e">
        <f aca="true" t="shared" si="36" ref="D75:J75">SUM(D68:D74)</f>
        <v>#REF!</v>
      </c>
      <c r="E75" s="163" t="e">
        <f t="shared" si="36"/>
        <v>#REF!</v>
      </c>
      <c r="F75" s="163" t="e">
        <f t="shared" si="36"/>
        <v>#REF!</v>
      </c>
      <c r="G75" s="163" t="e">
        <f t="shared" si="36"/>
        <v>#REF!</v>
      </c>
      <c r="H75" s="163" t="e">
        <f t="shared" si="36"/>
        <v>#REF!</v>
      </c>
      <c r="I75" s="163" t="e">
        <f t="shared" si="36"/>
        <v>#REF!</v>
      </c>
      <c r="J75" s="163" t="e">
        <f t="shared" si="36"/>
        <v>#REF!</v>
      </c>
      <c r="K75" s="192"/>
      <c r="L75" s="64"/>
      <c r="M75" s="64"/>
      <c r="N75" s="64"/>
      <c r="O75" s="64"/>
      <c r="P75" s="64"/>
      <c r="Q75" s="64"/>
      <c r="R75" s="64"/>
      <c r="S75" s="64"/>
      <c r="T75" s="60"/>
    </row>
    <row r="76" spans="1:20" ht="12.75" hidden="1">
      <c r="A76" s="235" t="s">
        <v>155</v>
      </c>
      <c r="B76" s="235"/>
      <c r="C76" s="121">
        <v>3</v>
      </c>
      <c r="D76" s="166" t="s">
        <v>148</v>
      </c>
      <c r="E76" s="231" t="s">
        <v>357</v>
      </c>
      <c r="F76" s="231"/>
      <c r="G76" s="125">
        <v>1.3</v>
      </c>
      <c r="H76" s="165" t="s">
        <v>290</v>
      </c>
      <c r="I76" s="236"/>
      <c r="J76" s="236"/>
      <c r="K76" s="168"/>
      <c r="L76" s="64"/>
      <c r="M76" s="64"/>
      <c r="N76" s="64"/>
      <c r="O76" s="64"/>
      <c r="P76" s="64"/>
      <c r="Q76" s="64"/>
      <c r="R76" s="64"/>
      <c r="S76" s="64"/>
      <c r="T76" s="60"/>
    </row>
    <row r="77" spans="1:20" ht="12.75" hidden="1">
      <c r="A77" s="231" t="s">
        <v>354</v>
      </c>
      <c r="B77" s="231"/>
      <c r="C77" s="125">
        <v>15</v>
      </c>
      <c r="D77" s="167" t="s">
        <v>148</v>
      </c>
      <c r="E77" s="237" t="s">
        <v>156</v>
      </c>
      <c r="F77" s="237"/>
      <c r="G77" s="172">
        <v>2.4</v>
      </c>
      <c r="H77" s="167" t="s">
        <v>51</v>
      </c>
      <c r="I77" s="165"/>
      <c r="J77" s="165"/>
      <c r="K77" s="165"/>
      <c r="L77" s="64"/>
      <c r="M77" s="64"/>
      <c r="N77" s="64"/>
      <c r="O77" s="64"/>
      <c r="P77" s="64"/>
      <c r="Q77" s="64"/>
      <c r="R77" s="64"/>
      <c r="S77" s="64"/>
      <c r="T77" s="60"/>
    </row>
    <row r="78" spans="1:20" ht="12.75" hidden="1">
      <c r="A78" s="231" t="s">
        <v>157</v>
      </c>
      <c r="B78" s="231"/>
      <c r="C78" s="125">
        <v>249</v>
      </c>
      <c r="D78" s="165" t="s">
        <v>49</v>
      </c>
      <c r="E78" s="237" t="s">
        <v>356</v>
      </c>
      <c r="F78" s="237"/>
      <c r="G78" s="169">
        <v>1</v>
      </c>
      <c r="H78" s="165" t="s">
        <v>51</v>
      </c>
      <c r="I78" s="165"/>
      <c r="J78" s="165"/>
      <c r="K78" s="165"/>
      <c r="L78" s="64"/>
      <c r="M78" s="64"/>
      <c r="N78" s="64"/>
      <c r="O78" s="64"/>
      <c r="P78" s="64"/>
      <c r="Q78" s="64"/>
      <c r="R78" s="64"/>
      <c r="S78" s="64"/>
      <c r="T78" s="60"/>
    </row>
    <row r="79" spans="1:20" ht="12.75" hidden="1">
      <c r="A79" s="231" t="s">
        <v>355</v>
      </c>
      <c r="B79" s="231"/>
      <c r="C79" s="125">
        <v>377</v>
      </c>
      <c r="D79" s="165" t="s">
        <v>49</v>
      </c>
      <c r="E79" s="237" t="s">
        <v>95</v>
      </c>
      <c r="F79" s="237"/>
      <c r="G79" s="169">
        <v>1.3</v>
      </c>
      <c r="H79" s="165"/>
      <c r="I79" s="165"/>
      <c r="J79" s="165"/>
      <c r="K79" s="165"/>
      <c r="L79" s="64"/>
      <c r="M79" s="64"/>
      <c r="N79" s="64"/>
      <c r="O79" s="64"/>
      <c r="P79" s="64"/>
      <c r="Q79" s="64"/>
      <c r="R79" s="64"/>
      <c r="S79" s="64"/>
      <c r="T79" s="60"/>
    </row>
    <row r="80" spans="1:20" ht="12.75" hidden="1">
      <c r="A80" s="231" t="s">
        <v>158</v>
      </c>
      <c r="B80" s="231"/>
      <c r="C80" s="125">
        <v>4</v>
      </c>
      <c r="D80" s="165" t="s">
        <v>49</v>
      </c>
      <c r="E80" s="168"/>
      <c r="F80" s="168"/>
      <c r="G80" s="169"/>
      <c r="H80" s="165"/>
      <c r="I80" s="165"/>
      <c r="J80" s="165"/>
      <c r="K80" s="165"/>
      <c r="L80" s="64"/>
      <c r="M80" s="64"/>
      <c r="N80" s="64"/>
      <c r="O80" s="64"/>
      <c r="P80" s="64"/>
      <c r="Q80" s="64"/>
      <c r="R80" s="64"/>
      <c r="S80" s="64"/>
      <c r="T80" s="60"/>
    </row>
    <row r="81" spans="1:20" ht="12.75" hidden="1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60"/>
      <c r="L81" s="64"/>
      <c r="M81" s="64"/>
      <c r="N81" s="64"/>
      <c r="O81" s="64"/>
      <c r="P81" s="64"/>
      <c r="Q81" s="64"/>
      <c r="R81" s="64"/>
      <c r="S81" s="64"/>
      <c r="T81" s="60"/>
    </row>
    <row r="82" spans="1:20" ht="12.75" hidden="1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60"/>
      <c r="L82" s="64"/>
      <c r="M82" s="64"/>
      <c r="N82" s="64"/>
      <c r="O82" s="64"/>
      <c r="P82" s="64"/>
      <c r="Q82" s="64"/>
      <c r="R82" s="64"/>
      <c r="S82" s="64"/>
      <c r="T82" s="60"/>
    </row>
    <row r="83" spans="1:20" ht="12.75" hidden="1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60"/>
      <c r="L83" s="64"/>
      <c r="M83" s="64"/>
      <c r="N83" s="64"/>
      <c r="O83" s="64"/>
      <c r="P83" s="64"/>
      <c r="Q83" s="64"/>
      <c r="R83" s="64"/>
      <c r="S83" s="64"/>
      <c r="T83" s="60"/>
    </row>
    <row r="84" spans="1:20" ht="12.75" hidden="1">
      <c r="A84" s="233" t="s">
        <v>353</v>
      </c>
      <c r="B84" s="233"/>
      <c r="C84" s="233"/>
      <c r="D84" s="233"/>
      <c r="E84" s="233"/>
      <c r="F84" s="233"/>
      <c r="G84" s="233"/>
      <c r="H84" s="233"/>
      <c r="I84" s="233"/>
      <c r="J84" s="233"/>
      <c r="K84" s="185"/>
      <c r="L84" s="64"/>
      <c r="M84" s="64"/>
      <c r="N84" s="64"/>
      <c r="O84" s="64"/>
      <c r="P84" s="64"/>
      <c r="Q84" s="64"/>
      <c r="R84" s="64"/>
      <c r="S84" s="64"/>
      <c r="T84" s="60"/>
    </row>
    <row r="85" spans="1:20" ht="12.75" hidden="1">
      <c r="A85" s="228" t="s">
        <v>34</v>
      </c>
      <c r="B85" s="228"/>
      <c r="C85" s="228"/>
      <c r="D85" s="228" t="s">
        <v>92</v>
      </c>
      <c r="E85" s="228" t="s">
        <v>93</v>
      </c>
      <c r="F85" s="228" t="s">
        <v>136</v>
      </c>
      <c r="G85" s="228" t="s">
        <v>144</v>
      </c>
      <c r="H85" s="228" t="s">
        <v>145</v>
      </c>
      <c r="I85" s="228" t="s">
        <v>348</v>
      </c>
      <c r="J85" s="228"/>
      <c r="K85" s="189"/>
      <c r="L85" s="64"/>
      <c r="M85" s="64"/>
      <c r="N85" s="64"/>
      <c r="O85" s="64"/>
      <c r="P85" s="64"/>
      <c r="Q85" s="64"/>
      <c r="R85" s="64"/>
      <c r="S85" s="64"/>
      <c r="T85" s="60"/>
    </row>
    <row r="86" spans="1:20" ht="12.75" hidden="1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189"/>
      <c r="L86" s="64"/>
      <c r="M86" s="64"/>
      <c r="N86" s="64"/>
      <c r="O86" s="64"/>
      <c r="P86" s="64"/>
      <c r="Q86" s="64"/>
      <c r="R86" s="64"/>
      <c r="S86" s="64"/>
      <c r="T86" s="60"/>
    </row>
    <row r="87" spans="1:20" ht="12.75" hidden="1">
      <c r="A87" s="228"/>
      <c r="B87" s="228"/>
      <c r="C87" s="228"/>
      <c r="D87" s="55" t="s">
        <v>19</v>
      </c>
      <c r="E87" s="161" t="s">
        <v>10</v>
      </c>
      <c r="F87" s="161" t="s">
        <v>10</v>
      </c>
      <c r="G87" s="161" t="s">
        <v>11</v>
      </c>
      <c r="H87" s="161" t="s">
        <v>12</v>
      </c>
      <c r="I87" s="228" t="s">
        <v>12</v>
      </c>
      <c r="J87" s="228"/>
      <c r="K87" s="189"/>
      <c r="L87" s="64"/>
      <c r="M87" s="64"/>
      <c r="N87" s="64"/>
      <c r="O87" s="64"/>
      <c r="P87" s="64"/>
      <c r="Q87" s="64"/>
      <c r="R87" s="64"/>
      <c r="S87" s="64"/>
      <c r="T87" s="60"/>
    </row>
    <row r="88" spans="1:20" ht="12.75" hidden="1">
      <c r="A88" s="229" t="s">
        <v>369</v>
      </c>
      <c r="B88" s="229"/>
      <c r="C88" s="229"/>
      <c r="D88" s="70">
        <v>0</v>
      </c>
      <c r="E88" s="170">
        <v>0</v>
      </c>
      <c r="F88" s="170">
        <v>0</v>
      </c>
      <c r="G88" s="170">
        <f>TRUNC(D88*E88*F88,2)</f>
        <v>0</v>
      </c>
      <c r="H88" s="170">
        <f>TRUNC(G88*($D$90/100),2)</f>
        <v>0</v>
      </c>
      <c r="I88" s="230">
        <f>H88</f>
        <v>0</v>
      </c>
      <c r="J88" s="230"/>
      <c r="K88" s="190"/>
      <c r="L88" s="64"/>
      <c r="M88" s="64"/>
      <c r="N88" s="64"/>
      <c r="O88" s="64"/>
      <c r="P88" s="64"/>
      <c r="Q88" s="64"/>
      <c r="R88" s="64"/>
      <c r="S88" s="64"/>
      <c r="T88" s="60"/>
    </row>
    <row r="89" spans="1:20" ht="12.75" hidden="1">
      <c r="A89" s="228" t="s">
        <v>7</v>
      </c>
      <c r="B89" s="228"/>
      <c r="C89" s="228"/>
      <c r="D89" s="249"/>
      <c r="E89" s="249"/>
      <c r="F89" s="249"/>
      <c r="G89" s="171">
        <f>SUM(G88:G88)</f>
        <v>0</v>
      </c>
      <c r="H89" s="171">
        <f>SUM(H88:H88)</f>
        <v>0</v>
      </c>
      <c r="I89" s="227">
        <f>SUM(I88:J88)</f>
        <v>0</v>
      </c>
      <c r="J89" s="227"/>
      <c r="K89" s="191"/>
      <c r="L89" s="64"/>
      <c r="M89" s="64"/>
      <c r="N89" s="64"/>
      <c r="O89" s="64"/>
      <c r="P89" s="64"/>
      <c r="Q89" s="64"/>
      <c r="R89" s="64"/>
      <c r="S89" s="64"/>
      <c r="T89" s="60"/>
    </row>
    <row r="90" spans="1:20" ht="12.75" hidden="1">
      <c r="A90" s="231" t="s">
        <v>351</v>
      </c>
      <c r="B90" s="231"/>
      <c r="C90" s="231"/>
      <c r="D90" s="164">
        <v>7</v>
      </c>
      <c r="E90" s="270" t="s">
        <v>148</v>
      </c>
      <c r="F90" s="270"/>
      <c r="G90" s="270"/>
      <c r="H90" s="270"/>
      <c r="I90" s="270"/>
      <c r="J90" s="270"/>
      <c r="K90" s="181"/>
      <c r="L90" s="64"/>
      <c r="M90" s="64"/>
      <c r="N90" s="64"/>
      <c r="O90" s="64"/>
      <c r="P90" s="64"/>
      <c r="Q90" s="64"/>
      <c r="R90" s="64"/>
      <c r="S90" s="64"/>
      <c r="T90" s="60"/>
    </row>
    <row r="91" spans="1:20" ht="12.75" hidden="1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60"/>
      <c r="L91" s="64"/>
      <c r="M91" s="64"/>
      <c r="N91" s="64"/>
      <c r="O91" s="64"/>
      <c r="P91" s="64"/>
      <c r="Q91" s="64"/>
      <c r="R91" s="64"/>
      <c r="S91" s="64"/>
      <c r="T91" s="60"/>
    </row>
    <row r="92" spans="1:20" ht="12.75" hidden="1">
      <c r="A92" s="241" t="s">
        <v>361</v>
      </c>
      <c r="B92" s="241"/>
      <c r="C92" s="241"/>
      <c r="D92" s="241"/>
      <c r="E92" s="241"/>
      <c r="F92" s="241"/>
      <c r="G92" s="241"/>
      <c r="H92" s="241"/>
      <c r="I92" s="241"/>
      <c r="J92" s="241"/>
      <c r="K92" s="185"/>
      <c r="L92" s="64"/>
      <c r="M92" s="64"/>
      <c r="N92" s="64"/>
      <c r="O92" s="64"/>
      <c r="P92" s="64"/>
      <c r="Q92" s="64"/>
      <c r="R92" s="64"/>
      <c r="S92" s="64"/>
      <c r="T92" s="60"/>
    </row>
    <row r="93" spans="1:20" ht="12.75" hidden="1">
      <c r="A93" s="228" t="s">
        <v>34</v>
      </c>
      <c r="B93" s="228"/>
      <c r="C93" s="228"/>
      <c r="D93" s="228" t="s">
        <v>92</v>
      </c>
      <c r="E93" s="228" t="s">
        <v>93</v>
      </c>
      <c r="F93" s="228" t="s">
        <v>145</v>
      </c>
      <c r="G93" s="228" t="s">
        <v>348</v>
      </c>
      <c r="H93" s="228"/>
      <c r="I93" s="228" t="s">
        <v>363</v>
      </c>
      <c r="J93" s="228"/>
      <c r="K93" s="189"/>
      <c r="L93" s="64"/>
      <c r="M93" s="64"/>
      <c r="N93" s="64"/>
      <c r="O93" s="64"/>
      <c r="P93" s="64"/>
      <c r="Q93" s="64"/>
      <c r="R93" s="64"/>
      <c r="S93" s="64"/>
      <c r="T93" s="60"/>
    </row>
    <row r="94" spans="1:20" ht="12.75" hidden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189"/>
      <c r="L94" s="64"/>
      <c r="M94" s="64"/>
      <c r="N94" s="64"/>
      <c r="O94" s="64"/>
      <c r="P94" s="64"/>
      <c r="Q94" s="64"/>
      <c r="R94" s="64"/>
      <c r="S94" s="64"/>
      <c r="T94" s="60"/>
    </row>
    <row r="95" spans="1:20" ht="12.75" hidden="1">
      <c r="A95" s="228"/>
      <c r="B95" s="228"/>
      <c r="C95" s="228"/>
      <c r="D95" s="55" t="s">
        <v>19</v>
      </c>
      <c r="E95" s="161" t="s">
        <v>10</v>
      </c>
      <c r="F95" s="161" t="s">
        <v>12</v>
      </c>
      <c r="G95" s="228" t="s">
        <v>12</v>
      </c>
      <c r="H95" s="228"/>
      <c r="I95" s="228" t="s">
        <v>10</v>
      </c>
      <c r="J95" s="228"/>
      <c r="K95" s="189"/>
      <c r="L95" s="64"/>
      <c r="M95" s="64"/>
      <c r="N95" s="64"/>
      <c r="O95" s="64"/>
      <c r="P95" s="64"/>
      <c r="Q95" s="64"/>
      <c r="R95" s="64"/>
      <c r="S95" s="64"/>
      <c r="T95" s="60"/>
    </row>
    <row r="96" spans="1:20" ht="12.75" hidden="1">
      <c r="A96" s="229" t="e">
        <f>#REF!</f>
        <v>#REF!</v>
      </c>
      <c r="B96" s="229"/>
      <c r="C96" s="229"/>
      <c r="D96" s="70">
        <v>0</v>
      </c>
      <c r="E96" s="170">
        <v>0</v>
      </c>
      <c r="F96" s="170">
        <f>TRUNC(($D$101/10000)*E96*D96,2)</f>
        <v>0</v>
      </c>
      <c r="G96" s="230">
        <f>F96</f>
        <v>0</v>
      </c>
      <c r="H96" s="230"/>
      <c r="I96" s="230">
        <f>D96*E96</f>
        <v>0</v>
      </c>
      <c r="J96" s="230"/>
      <c r="K96" s="190"/>
      <c r="L96" s="64"/>
      <c r="M96" s="64"/>
      <c r="N96" s="64"/>
      <c r="O96" s="64"/>
      <c r="P96" s="64"/>
      <c r="Q96" s="64"/>
      <c r="R96" s="64"/>
      <c r="S96" s="64"/>
      <c r="T96" s="60"/>
    </row>
    <row r="97" spans="1:20" ht="13.5" customHeight="1" hidden="1">
      <c r="A97" s="229" t="e">
        <f>#REF!</f>
        <v>#REF!</v>
      </c>
      <c r="B97" s="229"/>
      <c r="C97" s="229"/>
      <c r="D97" s="70">
        <v>0</v>
      </c>
      <c r="E97" s="170">
        <v>0</v>
      </c>
      <c r="F97" s="170">
        <f>TRUNC(($D$101/10000)*E97*D97,2)</f>
        <v>0</v>
      </c>
      <c r="G97" s="230">
        <f>F97</f>
        <v>0</v>
      </c>
      <c r="H97" s="230"/>
      <c r="I97" s="230">
        <f>D97*E97</f>
        <v>0</v>
      </c>
      <c r="J97" s="230"/>
      <c r="K97" s="190"/>
      <c r="L97" s="64"/>
      <c r="M97" s="64"/>
      <c r="N97" s="64"/>
      <c r="O97" s="64"/>
      <c r="P97" s="64"/>
      <c r="Q97" s="64"/>
      <c r="R97" s="64"/>
      <c r="S97" s="64"/>
      <c r="T97" s="60"/>
    </row>
    <row r="98" spans="1:20" ht="13.5" customHeight="1" hidden="1">
      <c r="A98" s="229" t="e">
        <f>#REF!</f>
        <v>#REF!</v>
      </c>
      <c r="B98" s="229"/>
      <c r="C98" s="229"/>
      <c r="D98" s="70">
        <v>0</v>
      </c>
      <c r="E98" s="170">
        <v>0</v>
      </c>
      <c r="F98" s="170">
        <f>TRUNC(($D$101/10000)*E98*D98,2)</f>
        <v>0</v>
      </c>
      <c r="G98" s="230">
        <f>F98</f>
        <v>0</v>
      </c>
      <c r="H98" s="230"/>
      <c r="I98" s="230">
        <v>0</v>
      </c>
      <c r="J98" s="230"/>
      <c r="K98" s="190"/>
      <c r="L98" s="64"/>
      <c r="M98" s="64"/>
      <c r="N98" s="64"/>
      <c r="O98" s="64"/>
      <c r="P98" s="64"/>
      <c r="Q98" s="64"/>
      <c r="R98" s="64"/>
      <c r="S98" s="64"/>
      <c r="T98" s="60"/>
    </row>
    <row r="99" spans="1:20" ht="13.5" customHeight="1" hidden="1">
      <c r="A99" s="229" t="e">
        <f>#REF!</f>
        <v>#REF!</v>
      </c>
      <c r="B99" s="229"/>
      <c r="C99" s="229"/>
      <c r="D99" s="70">
        <v>0</v>
      </c>
      <c r="E99" s="170">
        <v>0</v>
      </c>
      <c r="F99" s="170">
        <f>TRUNC(($D$101/10000)*E99*D99,2)</f>
        <v>0</v>
      </c>
      <c r="G99" s="230">
        <f>F99</f>
        <v>0</v>
      </c>
      <c r="H99" s="230"/>
      <c r="I99" s="230">
        <v>0</v>
      </c>
      <c r="J99" s="230"/>
      <c r="K99" s="190"/>
      <c r="L99" s="64"/>
      <c r="M99" s="64"/>
      <c r="N99" s="64"/>
      <c r="O99" s="64"/>
      <c r="P99" s="64"/>
      <c r="Q99" s="64"/>
      <c r="R99" s="64"/>
      <c r="S99" s="64"/>
      <c r="T99" s="60"/>
    </row>
    <row r="100" spans="1:20" ht="12.75" hidden="1">
      <c r="A100" s="228" t="s">
        <v>7</v>
      </c>
      <c r="B100" s="228"/>
      <c r="C100" s="228"/>
      <c r="D100" s="268"/>
      <c r="E100" s="269"/>
      <c r="F100" s="176">
        <f>SUM(F96:F99)</f>
        <v>0</v>
      </c>
      <c r="G100" s="227">
        <f>SUM(G96:H99)</f>
        <v>0</v>
      </c>
      <c r="H100" s="227"/>
      <c r="I100" s="227">
        <f>SUM(I96:J99)</f>
        <v>0</v>
      </c>
      <c r="J100" s="227"/>
      <c r="K100" s="191"/>
      <c r="L100" s="64"/>
      <c r="M100" s="64"/>
      <c r="N100" s="64"/>
      <c r="O100" s="64"/>
      <c r="P100" s="64"/>
      <c r="Q100" s="64"/>
      <c r="R100" s="64"/>
      <c r="S100" s="64"/>
      <c r="T100" s="60"/>
    </row>
    <row r="101" spans="1:20" ht="12.75" hidden="1">
      <c r="A101" s="231" t="s">
        <v>362</v>
      </c>
      <c r="B101" s="231"/>
      <c r="C101" s="231"/>
      <c r="D101" s="164">
        <v>615</v>
      </c>
      <c r="E101" s="246" t="s">
        <v>94</v>
      </c>
      <c r="F101" s="246"/>
      <c r="G101" s="246"/>
      <c r="H101" s="246"/>
      <c r="I101" s="246"/>
      <c r="J101" s="246"/>
      <c r="K101" s="181"/>
      <c r="L101" s="64"/>
      <c r="M101" s="64"/>
      <c r="N101" s="64"/>
      <c r="O101" s="64"/>
      <c r="P101" s="64"/>
      <c r="Q101" s="64"/>
      <c r="R101" s="64"/>
      <c r="S101" s="64"/>
      <c r="T101" s="60"/>
    </row>
    <row r="102" spans="1:20" ht="12.75">
      <c r="A102" s="241" t="s">
        <v>331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185"/>
      <c r="L102" s="64"/>
      <c r="M102" s="64"/>
      <c r="N102" s="64"/>
      <c r="O102" s="64"/>
      <c r="P102" s="64"/>
      <c r="Q102" s="64"/>
      <c r="R102" s="64"/>
      <c r="S102" s="64"/>
      <c r="T102" s="60"/>
    </row>
    <row r="103" spans="1:20" ht="12.75">
      <c r="A103" s="238" t="s">
        <v>332</v>
      </c>
      <c r="B103" s="239"/>
      <c r="C103" s="239"/>
      <c r="D103" s="239"/>
      <c r="E103" s="239"/>
      <c r="F103" s="240"/>
      <c r="G103" s="242"/>
      <c r="H103" s="243"/>
      <c r="I103" s="243"/>
      <c r="J103" s="243"/>
      <c r="K103" s="71"/>
      <c r="L103" s="64"/>
      <c r="M103" s="64"/>
      <c r="N103" s="64"/>
      <c r="O103" s="64"/>
      <c r="P103" s="64"/>
      <c r="Q103" s="64"/>
      <c r="R103" s="64"/>
      <c r="S103" s="64"/>
      <c r="T103" s="60"/>
    </row>
    <row r="104" spans="1:20" ht="12.75">
      <c r="A104" s="221"/>
      <c r="B104" s="222"/>
      <c r="C104" s="222"/>
      <c r="D104" s="222"/>
      <c r="E104" s="222"/>
      <c r="F104" s="223"/>
      <c r="G104" s="242"/>
      <c r="H104" s="243"/>
      <c r="I104" s="243"/>
      <c r="J104" s="243"/>
      <c r="K104" s="71"/>
      <c r="L104" s="64"/>
      <c r="M104" s="64"/>
      <c r="N104" s="64"/>
      <c r="O104" s="64"/>
      <c r="P104" s="64"/>
      <c r="Q104" s="64"/>
      <c r="R104" s="64"/>
      <c r="S104" s="64"/>
      <c r="T104" s="60"/>
    </row>
    <row r="105" spans="1:20" ht="12.75">
      <c r="A105" s="242"/>
      <c r="B105" s="243"/>
      <c r="C105" s="243"/>
      <c r="D105" s="243"/>
      <c r="E105" s="243"/>
      <c r="F105" s="244"/>
      <c r="G105" s="242"/>
      <c r="H105" s="243"/>
      <c r="I105" s="243"/>
      <c r="J105" s="243"/>
      <c r="K105" s="71"/>
      <c r="L105" s="64"/>
      <c r="M105" s="64"/>
      <c r="N105" s="64"/>
      <c r="O105" s="64"/>
      <c r="P105" s="64"/>
      <c r="Q105" s="64"/>
      <c r="R105" s="64"/>
      <c r="S105" s="64"/>
      <c r="T105" s="60"/>
    </row>
    <row r="106" spans="1:20" ht="12.75">
      <c r="A106" s="221" t="s">
        <v>333</v>
      </c>
      <c r="B106" s="222"/>
      <c r="C106" s="222"/>
      <c r="D106" s="222"/>
      <c r="E106" s="222"/>
      <c r="F106" s="223"/>
      <c r="G106" s="242"/>
      <c r="H106" s="243"/>
      <c r="I106" s="243"/>
      <c r="J106" s="243"/>
      <c r="K106" s="71"/>
      <c r="L106" s="64"/>
      <c r="M106" s="64"/>
      <c r="N106" s="64"/>
      <c r="O106" s="64"/>
      <c r="P106" s="64"/>
      <c r="Q106" s="64"/>
      <c r="R106" s="64"/>
      <c r="S106" s="64"/>
      <c r="T106" s="60"/>
    </row>
    <row r="107" spans="1:20" ht="12.75">
      <c r="A107" s="221"/>
      <c r="B107" s="222"/>
      <c r="C107" s="222"/>
      <c r="D107" s="222"/>
      <c r="E107" s="222"/>
      <c r="F107" s="223"/>
      <c r="G107" s="242"/>
      <c r="H107" s="243"/>
      <c r="I107" s="243"/>
      <c r="J107" s="243"/>
      <c r="K107" s="71"/>
      <c r="L107" s="64"/>
      <c r="M107" s="64"/>
      <c r="N107" s="64"/>
      <c r="O107" s="64"/>
      <c r="P107" s="64"/>
      <c r="Q107" s="64"/>
      <c r="R107" s="64"/>
      <c r="S107" s="64"/>
      <c r="T107" s="60"/>
    </row>
    <row r="108" spans="1:20" ht="12.75">
      <c r="A108" s="242"/>
      <c r="B108" s="243"/>
      <c r="C108" s="243"/>
      <c r="D108" s="243"/>
      <c r="E108" s="243"/>
      <c r="F108" s="244"/>
      <c r="G108" s="242"/>
      <c r="H108" s="243"/>
      <c r="I108" s="243"/>
      <c r="J108" s="243"/>
      <c r="K108" s="71"/>
      <c r="L108" s="64"/>
      <c r="M108" s="64"/>
      <c r="N108" s="64"/>
      <c r="O108" s="64"/>
      <c r="P108" s="64"/>
      <c r="Q108" s="64"/>
      <c r="R108" s="64"/>
      <c r="S108" s="64"/>
      <c r="T108" s="60"/>
    </row>
    <row r="109" spans="1:20" ht="12.75">
      <c r="A109" s="221" t="s">
        <v>334</v>
      </c>
      <c r="B109" s="222"/>
      <c r="C109" s="222"/>
      <c r="D109" s="222"/>
      <c r="E109" s="222"/>
      <c r="F109" s="250">
        <v>0.9</v>
      </c>
      <c r="G109" s="242"/>
      <c r="H109" s="243"/>
      <c r="I109" s="243"/>
      <c r="J109" s="243"/>
      <c r="K109" s="71"/>
      <c r="L109" s="64"/>
      <c r="M109" s="64"/>
      <c r="N109" s="64"/>
      <c r="O109" s="64"/>
      <c r="P109" s="64"/>
      <c r="Q109" s="64"/>
      <c r="R109" s="64"/>
      <c r="S109" s="64"/>
      <c r="T109" s="60"/>
    </row>
    <row r="110" spans="1:20" ht="12.75">
      <c r="A110" s="221"/>
      <c r="B110" s="222"/>
      <c r="C110" s="222"/>
      <c r="D110" s="222"/>
      <c r="E110" s="222"/>
      <c r="F110" s="250"/>
      <c r="G110" s="242"/>
      <c r="H110" s="243"/>
      <c r="I110" s="243"/>
      <c r="J110" s="243"/>
      <c r="K110" s="71"/>
      <c r="L110" s="64"/>
      <c r="M110" s="64"/>
      <c r="N110" s="64"/>
      <c r="O110" s="64"/>
      <c r="P110" s="64"/>
      <c r="Q110" s="64"/>
      <c r="R110" s="64"/>
      <c r="S110" s="64"/>
      <c r="T110" s="60"/>
    </row>
    <row r="111" spans="1:20" ht="12.75">
      <c r="A111" s="221" t="s">
        <v>335</v>
      </c>
      <c r="B111" s="222"/>
      <c r="C111" s="222"/>
      <c r="D111" s="222"/>
      <c r="E111" s="222"/>
      <c r="F111" s="250">
        <v>0.1</v>
      </c>
      <c r="G111" s="242"/>
      <c r="H111" s="243"/>
      <c r="I111" s="243"/>
      <c r="J111" s="243"/>
      <c r="K111" s="71"/>
      <c r="L111" s="64"/>
      <c r="M111" s="64"/>
      <c r="N111" s="64"/>
      <c r="O111" s="64"/>
      <c r="P111" s="64"/>
      <c r="Q111" s="64"/>
      <c r="R111" s="64"/>
      <c r="S111" s="64"/>
      <c r="T111" s="60"/>
    </row>
    <row r="112" spans="1:20" ht="12.75">
      <c r="A112" s="224"/>
      <c r="B112" s="225"/>
      <c r="C112" s="225"/>
      <c r="D112" s="225"/>
      <c r="E112" s="225"/>
      <c r="F112" s="251"/>
      <c r="G112" s="242"/>
      <c r="H112" s="243"/>
      <c r="I112" s="243"/>
      <c r="J112" s="243"/>
      <c r="K112" s="71"/>
      <c r="L112" s="64"/>
      <c r="M112" s="64"/>
      <c r="N112" s="64"/>
      <c r="O112" s="64"/>
      <c r="P112" s="64"/>
      <c r="Q112" s="64"/>
      <c r="R112" s="64"/>
      <c r="S112" s="64"/>
      <c r="T112" s="60"/>
    </row>
    <row r="113" spans="1:20" ht="12.75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71"/>
      <c r="L113" s="64"/>
      <c r="M113" s="64"/>
      <c r="N113" s="64"/>
      <c r="O113" s="64"/>
      <c r="P113" s="64"/>
      <c r="Q113" s="64"/>
      <c r="R113" s="64"/>
      <c r="S113" s="64"/>
      <c r="T113" s="60"/>
    </row>
    <row r="114" spans="1:20" ht="12.75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71"/>
      <c r="L114" s="64"/>
      <c r="M114" s="64"/>
      <c r="N114" s="64"/>
      <c r="O114" s="64"/>
      <c r="P114" s="64"/>
      <c r="Q114" s="64"/>
      <c r="R114" s="64"/>
      <c r="S114" s="64"/>
      <c r="T114" s="60"/>
    </row>
    <row r="115" spans="1:20" ht="12.75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71"/>
      <c r="L115" s="64"/>
      <c r="M115" s="64"/>
      <c r="N115" s="64"/>
      <c r="O115" s="64"/>
      <c r="P115" s="64"/>
      <c r="Q115" s="64"/>
      <c r="R115" s="64"/>
      <c r="S115" s="64"/>
      <c r="T115" s="60"/>
    </row>
    <row r="116" spans="1:21" ht="12.75">
      <c r="A116" s="241" t="s">
        <v>498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185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238" t="s">
        <v>336</v>
      </c>
      <c r="B117" s="239"/>
      <c r="C117" s="239"/>
      <c r="D117" s="239"/>
      <c r="E117" s="239"/>
      <c r="F117" s="239"/>
      <c r="G117" s="239"/>
      <c r="H117" s="239"/>
      <c r="I117" s="239"/>
      <c r="J117" s="240"/>
      <c r="K117" s="184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2.75">
      <c r="A118" s="221" t="s">
        <v>337</v>
      </c>
      <c r="B118" s="222"/>
      <c r="C118" s="222"/>
      <c r="D118" s="222"/>
      <c r="E118" s="222"/>
      <c r="F118" s="222"/>
      <c r="G118" s="222"/>
      <c r="H118" s="222"/>
      <c r="I118" s="222"/>
      <c r="J118" s="223"/>
      <c r="K118" s="184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2.75">
      <c r="A119" s="221" t="s">
        <v>338</v>
      </c>
      <c r="B119" s="222"/>
      <c r="C119" s="222"/>
      <c r="D119" s="222"/>
      <c r="E119" s="222"/>
      <c r="F119" s="222"/>
      <c r="G119" s="222"/>
      <c r="H119" s="222"/>
      <c r="I119" s="222"/>
      <c r="J119" s="223"/>
      <c r="K119" s="184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2.75">
      <c r="A120" s="221" t="s">
        <v>339</v>
      </c>
      <c r="B120" s="222"/>
      <c r="C120" s="222"/>
      <c r="D120" s="222"/>
      <c r="E120" s="222"/>
      <c r="F120" s="222"/>
      <c r="G120" s="222"/>
      <c r="H120" s="222"/>
      <c r="I120" s="222"/>
      <c r="J120" s="223"/>
      <c r="K120" s="184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2.75">
      <c r="A121" s="221" t="s">
        <v>340</v>
      </c>
      <c r="B121" s="222"/>
      <c r="C121" s="222"/>
      <c r="D121" s="222"/>
      <c r="E121" s="222"/>
      <c r="F121" s="222"/>
      <c r="G121" s="222"/>
      <c r="H121" s="222"/>
      <c r="I121" s="222"/>
      <c r="J121" s="223"/>
      <c r="K121" s="184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2.75">
      <c r="A122" s="221" t="s">
        <v>341</v>
      </c>
      <c r="B122" s="222"/>
      <c r="C122" s="222"/>
      <c r="D122" s="222"/>
      <c r="E122" s="222"/>
      <c r="F122" s="222"/>
      <c r="G122" s="222"/>
      <c r="H122" s="222"/>
      <c r="I122" s="222"/>
      <c r="J122" s="223"/>
      <c r="K122" s="184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2.75">
      <c r="A123" s="221" t="s">
        <v>342</v>
      </c>
      <c r="B123" s="222"/>
      <c r="C123" s="222"/>
      <c r="D123" s="222"/>
      <c r="E123" s="222"/>
      <c r="F123" s="222"/>
      <c r="G123" s="222"/>
      <c r="H123" s="222"/>
      <c r="I123" s="222"/>
      <c r="J123" s="223"/>
      <c r="K123" s="184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2.75">
      <c r="A124" s="221" t="s">
        <v>486</v>
      </c>
      <c r="B124" s="222"/>
      <c r="C124" s="222"/>
      <c r="D124" s="222"/>
      <c r="E124" s="222"/>
      <c r="F124" s="222"/>
      <c r="G124" s="222"/>
      <c r="H124" s="222"/>
      <c r="I124" s="222"/>
      <c r="J124" s="223"/>
      <c r="K124" s="184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2.75">
      <c r="A125" s="221" t="s">
        <v>488</v>
      </c>
      <c r="B125" s="222"/>
      <c r="C125" s="222"/>
      <c r="D125" s="222"/>
      <c r="E125" s="222"/>
      <c r="F125" s="222"/>
      <c r="G125" s="222"/>
      <c r="H125" s="222"/>
      <c r="I125" s="222"/>
      <c r="J125" s="223"/>
      <c r="K125" s="184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2.75" customHeight="1">
      <c r="A126" s="221" t="s">
        <v>487</v>
      </c>
      <c r="B126" s="222"/>
      <c r="C126" s="222"/>
      <c r="D126" s="222"/>
      <c r="E126" s="222"/>
      <c r="F126" s="222"/>
      <c r="G126" s="222"/>
      <c r="H126" s="222"/>
      <c r="I126" s="222"/>
      <c r="J126" s="223"/>
      <c r="K126" s="184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2.75">
      <c r="A127" s="221" t="s">
        <v>489</v>
      </c>
      <c r="B127" s="222"/>
      <c r="C127" s="222"/>
      <c r="D127" s="222"/>
      <c r="E127" s="222"/>
      <c r="F127" s="222"/>
      <c r="G127" s="222"/>
      <c r="H127" s="222"/>
      <c r="I127" s="222"/>
      <c r="J127" s="223"/>
      <c r="K127" s="184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2.75">
      <c r="A128" s="221" t="s">
        <v>490</v>
      </c>
      <c r="B128" s="222"/>
      <c r="C128" s="222"/>
      <c r="D128" s="222"/>
      <c r="E128" s="222"/>
      <c r="F128" s="222"/>
      <c r="G128" s="222"/>
      <c r="H128" s="222"/>
      <c r="I128" s="222"/>
      <c r="J128" s="223"/>
      <c r="K128" s="184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2.75">
      <c r="A129" s="221" t="s">
        <v>491</v>
      </c>
      <c r="B129" s="222"/>
      <c r="C129" s="222"/>
      <c r="D129" s="222"/>
      <c r="E129" s="222"/>
      <c r="F129" s="222"/>
      <c r="G129" s="222"/>
      <c r="H129" s="222"/>
      <c r="I129" s="222"/>
      <c r="J129" s="223"/>
      <c r="K129" s="184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2.75">
      <c r="A130" s="221" t="s">
        <v>492</v>
      </c>
      <c r="B130" s="222"/>
      <c r="C130" s="222"/>
      <c r="D130" s="222"/>
      <c r="E130" s="222"/>
      <c r="F130" s="222"/>
      <c r="G130" s="222"/>
      <c r="H130" s="222"/>
      <c r="I130" s="222"/>
      <c r="J130" s="223"/>
      <c r="K130" s="184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2.75">
      <c r="A131" s="221" t="s">
        <v>493</v>
      </c>
      <c r="B131" s="222"/>
      <c r="C131" s="222"/>
      <c r="D131" s="222"/>
      <c r="E131" s="222"/>
      <c r="F131" s="222"/>
      <c r="G131" s="222"/>
      <c r="H131" s="222"/>
      <c r="I131" s="222"/>
      <c r="J131" s="223"/>
      <c r="K131" s="184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2.75">
      <c r="A132" s="221" t="s">
        <v>494</v>
      </c>
      <c r="B132" s="222"/>
      <c r="C132" s="222"/>
      <c r="D132" s="222"/>
      <c r="E132" s="222"/>
      <c r="F132" s="222"/>
      <c r="G132" s="222"/>
      <c r="H132" s="222"/>
      <c r="I132" s="222"/>
      <c r="J132" s="223"/>
      <c r="K132" s="184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2.75">
      <c r="A133" s="221" t="s">
        <v>495</v>
      </c>
      <c r="B133" s="222"/>
      <c r="C133" s="222"/>
      <c r="D133" s="222"/>
      <c r="E133" s="222"/>
      <c r="F133" s="222"/>
      <c r="G133" s="222"/>
      <c r="H133" s="222"/>
      <c r="I133" s="222"/>
      <c r="J133" s="223"/>
      <c r="K133" s="184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2.75">
      <c r="A134" s="221" t="s">
        <v>496</v>
      </c>
      <c r="B134" s="222"/>
      <c r="C134" s="222"/>
      <c r="D134" s="222"/>
      <c r="E134" s="222"/>
      <c r="F134" s="222"/>
      <c r="G134" s="222"/>
      <c r="H134" s="222"/>
      <c r="I134" s="222"/>
      <c r="J134" s="223"/>
      <c r="K134" s="184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2.75">
      <c r="A135" s="224" t="s">
        <v>497</v>
      </c>
      <c r="B135" s="225"/>
      <c r="C135" s="225"/>
      <c r="D135" s="225"/>
      <c r="E135" s="225"/>
      <c r="F135" s="225"/>
      <c r="G135" s="225"/>
      <c r="H135" s="225"/>
      <c r="I135" s="225"/>
      <c r="J135" s="226"/>
      <c r="K135" s="184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ht="12.75"/>
  </sheetData>
  <sheetProtection/>
  <mergeCells count="179">
    <mergeCell ref="A113:J115"/>
    <mergeCell ref="A28:J28"/>
    <mergeCell ref="A17:J17"/>
    <mergeCell ref="A53:J53"/>
    <mergeCell ref="A81:J83"/>
    <mergeCell ref="A54:F54"/>
    <mergeCell ref="A91:J91"/>
    <mergeCell ref="A99:C99"/>
    <mergeCell ref="G98:H98"/>
    <mergeCell ref="A80:B80"/>
    <mergeCell ref="H85:H86"/>
    <mergeCell ref="A84:J84"/>
    <mergeCell ref="A93:C95"/>
    <mergeCell ref="D93:D94"/>
    <mergeCell ref="A90:C90"/>
    <mergeCell ref="E90:J90"/>
    <mergeCell ref="E85:E86"/>
    <mergeCell ref="D100:E100"/>
    <mergeCell ref="A100:C100"/>
    <mergeCell ref="I100:J100"/>
    <mergeCell ref="A98:C98"/>
    <mergeCell ref="A96:C96"/>
    <mergeCell ref="I96:J96"/>
    <mergeCell ref="G99:H99"/>
    <mergeCell ref="A97:C97"/>
    <mergeCell ref="I98:J98"/>
    <mergeCell ref="I99:J99"/>
    <mergeCell ref="I97:J97"/>
    <mergeCell ref="G97:H97"/>
    <mergeCell ref="I93:J94"/>
    <mergeCell ref="I95:J95"/>
    <mergeCell ref="H19:I19"/>
    <mergeCell ref="E93:E94"/>
    <mergeCell ref="G93:H94"/>
    <mergeCell ref="G95:H95"/>
    <mergeCell ref="A92:J92"/>
    <mergeCell ref="A24:C24"/>
    <mergeCell ref="A79:B79"/>
    <mergeCell ref="E79:F79"/>
    <mergeCell ref="E78:F78"/>
    <mergeCell ref="A42:C44"/>
    <mergeCell ref="D42:G42"/>
    <mergeCell ref="I42:J42"/>
    <mergeCell ref="G54:J62"/>
    <mergeCell ref="A19:C21"/>
    <mergeCell ref="D19:D20"/>
    <mergeCell ref="A27:C27"/>
    <mergeCell ref="E19:E20"/>
    <mergeCell ref="F19:G19"/>
    <mergeCell ref="F30:F31"/>
    <mergeCell ref="G30:G31"/>
    <mergeCell ref="A26:C26"/>
    <mergeCell ref="A29:J29"/>
    <mergeCell ref="A1:J1"/>
    <mergeCell ref="A2:J2"/>
    <mergeCell ref="A3:J3"/>
    <mergeCell ref="A5:J5"/>
    <mergeCell ref="A33:C33"/>
    <mergeCell ref="J19:J20"/>
    <mergeCell ref="E30:E31"/>
    <mergeCell ref="A23:C23"/>
    <mergeCell ref="A8:G8"/>
    <mergeCell ref="H8:J8"/>
    <mergeCell ref="P19:R19"/>
    <mergeCell ref="C4:J4"/>
    <mergeCell ref="A6:J7"/>
    <mergeCell ref="A22:C22"/>
    <mergeCell ref="A25:C25"/>
    <mergeCell ref="N17:P17"/>
    <mergeCell ref="A18:J18"/>
    <mergeCell ref="M19:O19"/>
    <mergeCell ref="K19:L19"/>
    <mergeCell ref="H9:J16"/>
    <mergeCell ref="R39:S39"/>
    <mergeCell ref="A34:C34"/>
    <mergeCell ref="A39:C39"/>
    <mergeCell ref="H30:H31"/>
    <mergeCell ref="I30:I31"/>
    <mergeCell ref="A30:C32"/>
    <mergeCell ref="J30:J31"/>
    <mergeCell ref="R30:S30"/>
    <mergeCell ref="A41:H41"/>
    <mergeCell ref="A49:C49"/>
    <mergeCell ref="D30:D31"/>
    <mergeCell ref="A35:C35"/>
    <mergeCell ref="A36:C36"/>
    <mergeCell ref="A37:C37"/>
    <mergeCell ref="A38:C38"/>
    <mergeCell ref="A40:J40"/>
    <mergeCell ref="S19:U19"/>
    <mergeCell ref="A111:E112"/>
    <mergeCell ref="F111:F112"/>
    <mergeCell ref="F55:F56"/>
    <mergeCell ref="A58:C58"/>
    <mergeCell ref="A46:C46"/>
    <mergeCell ref="A45:C45"/>
    <mergeCell ref="A47:C47"/>
    <mergeCell ref="A48:C48"/>
    <mergeCell ref="A50:C50"/>
    <mergeCell ref="A51:C51"/>
    <mergeCell ref="A52:B52"/>
    <mergeCell ref="A63:J63"/>
    <mergeCell ref="D89:F89"/>
    <mergeCell ref="G103:J112"/>
    <mergeCell ref="F109:F110"/>
    <mergeCell ref="A59:C59"/>
    <mergeCell ref="A60:C60"/>
    <mergeCell ref="A61:C61"/>
    <mergeCell ref="A89:C89"/>
    <mergeCell ref="D52:H52"/>
    <mergeCell ref="A55:C57"/>
    <mergeCell ref="D55:D57"/>
    <mergeCell ref="E55:E57"/>
    <mergeCell ref="A109:E110"/>
    <mergeCell ref="G96:H96"/>
    <mergeCell ref="E101:J101"/>
    <mergeCell ref="F93:F94"/>
    <mergeCell ref="D62:E62"/>
    <mergeCell ref="A101:C101"/>
    <mergeCell ref="I85:J86"/>
    <mergeCell ref="I65:I66"/>
    <mergeCell ref="A62:C62"/>
    <mergeCell ref="A72:C72"/>
    <mergeCell ref="G100:H100"/>
    <mergeCell ref="J65:J66"/>
    <mergeCell ref="A74:C74"/>
    <mergeCell ref="E65:E66"/>
    <mergeCell ref="H65:H66"/>
    <mergeCell ref="A75:C75"/>
    <mergeCell ref="A121:J121"/>
    <mergeCell ref="A122:J122"/>
    <mergeCell ref="A102:J102"/>
    <mergeCell ref="A103:F104"/>
    <mergeCell ref="A105:F105"/>
    <mergeCell ref="A106:F107"/>
    <mergeCell ref="A108:F108"/>
    <mergeCell ref="A116:J116"/>
    <mergeCell ref="A118:J118"/>
    <mergeCell ref="A119:J119"/>
    <mergeCell ref="F65:F66"/>
    <mergeCell ref="G65:G66"/>
    <mergeCell ref="A68:C68"/>
    <mergeCell ref="A132:J132"/>
    <mergeCell ref="A76:B76"/>
    <mergeCell ref="A69:C69"/>
    <mergeCell ref="I76:J76"/>
    <mergeCell ref="A71:C71"/>
    <mergeCell ref="E77:F77"/>
    <mergeCell ref="A117:J117"/>
    <mergeCell ref="I51:J51"/>
    <mergeCell ref="A64:J64"/>
    <mergeCell ref="A123:J123"/>
    <mergeCell ref="A124:J124"/>
    <mergeCell ref="A120:J120"/>
    <mergeCell ref="A129:J129"/>
    <mergeCell ref="A70:C70"/>
    <mergeCell ref="A77:B77"/>
    <mergeCell ref="A78:B78"/>
    <mergeCell ref="A85:C87"/>
    <mergeCell ref="D65:D66"/>
    <mergeCell ref="E76:F76"/>
    <mergeCell ref="A65:C67"/>
    <mergeCell ref="A133:J133"/>
    <mergeCell ref="F85:F86"/>
    <mergeCell ref="G85:G86"/>
    <mergeCell ref="A130:J130"/>
    <mergeCell ref="A131:J131"/>
    <mergeCell ref="D85:D86"/>
    <mergeCell ref="A73:C73"/>
    <mergeCell ref="A134:J134"/>
    <mergeCell ref="A135:J135"/>
    <mergeCell ref="I89:J89"/>
    <mergeCell ref="I87:J87"/>
    <mergeCell ref="A88:C88"/>
    <mergeCell ref="I88:J88"/>
    <mergeCell ref="A126:J126"/>
    <mergeCell ref="A127:J127"/>
    <mergeCell ref="A128:J128"/>
    <mergeCell ref="A125:J125"/>
  </mergeCells>
  <printOptions/>
  <pageMargins left="0.7874015748031497" right="0.1968503937007874" top="1.7716535433070868" bottom="0.984251968503937" header="0.3937007874015748" footer="0.3937007874015748"/>
  <pageSetup horizontalDpi="600" verticalDpi="600" orientation="portrait" paperSize="9" scale="85" r:id="rId5"/>
  <headerFooter>
    <oddHeader>&amp;L&amp;G&amp;C
&amp;"Arial,Negrito"&amp;14PREFEITURA DE SETE QUEDAS&amp;12
ESTADO DE MATO GROSSO DO SUL&amp;"Arial,Normal"&amp;10
</oddHeader>
    <oddFooter>&amp;CPágina &amp;P de &amp;N</oddFooter>
  </headerFooter>
  <drawing r:id="rId3"/>
  <legacyDrawing r:id="rId2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C13" sqref="C13"/>
    </sheetView>
  </sheetViews>
  <sheetFormatPr defaultColWidth="9.140625" defaultRowHeight="12.75"/>
  <cols>
    <col min="1" max="2" width="9.7109375" style="115" customWidth="1"/>
    <col min="3" max="3" width="60.7109375" style="115" customWidth="1"/>
    <col min="4" max="4" width="4.7109375" style="115" customWidth="1"/>
    <col min="5" max="5" width="7.7109375" style="115" bestFit="1" customWidth="1"/>
    <col min="6" max="7" width="10.7109375" style="115" customWidth="1"/>
    <col min="8" max="16384" width="9.140625" style="115" customWidth="1"/>
  </cols>
  <sheetData>
    <row r="1" spans="1:7" ht="12.75">
      <c r="A1" s="295" t="s">
        <v>405</v>
      </c>
      <c r="B1" s="295"/>
      <c r="C1" s="295"/>
      <c r="D1" s="295"/>
      <c r="E1" s="295"/>
      <c r="F1" s="295"/>
      <c r="G1" s="295"/>
    </row>
    <row r="2" spans="1:7" ht="12.75">
      <c r="A2" s="295" t="s">
        <v>187</v>
      </c>
      <c r="B2" s="295"/>
      <c r="C2" s="295"/>
      <c r="D2" s="295"/>
      <c r="E2" s="295"/>
      <c r="F2" s="295"/>
      <c r="G2" s="295"/>
    </row>
    <row r="3" spans="1:7" ht="12.75">
      <c r="A3" s="295" t="s">
        <v>404</v>
      </c>
      <c r="B3" s="295"/>
      <c r="C3" s="295"/>
      <c r="D3" s="295"/>
      <c r="E3" s="295"/>
      <c r="F3" s="295"/>
      <c r="G3" s="295"/>
    </row>
    <row r="4" spans="1:7" ht="12.75">
      <c r="A4" s="295" t="s">
        <v>382</v>
      </c>
      <c r="B4" s="295"/>
      <c r="C4" s="295"/>
      <c r="D4" s="295"/>
      <c r="E4" s="295"/>
      <c r="F4" s="295"/>
      <c r="G4" s="295"/>
    </row>
    <row r="5" spans="1:7" ht="12.75">
      <c r="A5" s="351" t="s">
        <v>411</v>
      </c>
      <c r="B5" s="351"/>
      <c r="C5" s="351"/>
      <c r="D5" s="351"/>
      <c r="E5" s="351"/>
      <c r="F5" s="351"/>
      <c r="G5" s="351"/>
    </row>
    <row r="6" spans="1:7" ht="12.75">
      <c r="A6" s="352"/>
      <c r="B6" s="352"/>
      <c r="C6" s="352"/>
      <c r="D6" s="352"/>
      <c r="E6" s="352"/>
      <c r="F6" s="352"/>
      <c r="G6" s="352"/>
    </row>
    <row r="7" spans="1:7" ht="12.75">
      <c r="A7" s="341" t="s">
        <v>0</v>
      </c>
      <c r="B7" s="341" t="s">
        <v>112</v>
      </c>
      <c r="C7" s="341" t="s">
        <v>1</v>
      </c>
      <c r="D7" s="341" t="s">
        <v>15</v>
      </c>
      <c r="E7" s="341" t="s">
        <v>2</v>
      </c>
      <c r="F7" s="341" t="s">
        <v>201</v>
      </c>
      <c r="G7" s="341"/>
    </row>
    <row r="8" spans="1:7" ht="25.5">
      <c r="A8" s="341"/>
      <c r="B8" s="341"/>
      <c r="C8" s="341"/>
      <c r="D8" s="341"/>
      <c r="E8" s="341"/>
      <c r="F8" s="11" t="s">
        <v>6</v>
      </c>
      <c r="G8" s="11" t="s">
        <v>7</v>
      </c>
    </row>
    <row r="9" spans="1:7" ht="12.75">
      <c r="A9" s="28" t="s">
        <v>414</v>
      </c>
      <c r="B9" s="106"/>
      <c r="C9" s="373" t="s">
        <v>406</v>
      </c>
      <c r="D9" s="374"/>
      <c r="E9" s="374"/>
      <c r="F9" s="374"/>
      <c r="G9" s="375"/>
    </row>
    <row r="10" spans="1:7" ht="38.25">
      <c r="A10" s="35" t="s">
        <v>415</v>
      </c>
      <c r="B10" s="17">
        <v>72133</v>
      </c>
      <c r="C10" s="18" t="s">
        <v>383</v>
      </c>
      <c r="D10" s="16" t="s">
        <v>11</v>
      </c>
      <c r="E10" s="174">
        <v>2.67</v>
      </c>
      <c r="F10" s="175">
        <v>181.64</v>
      </c>
      <c r="G10" s="175">
        <f>TRUNC(E10*F10,2)</f>
        <v>484.97</v>
      </c>
    </row>
    <row r="11" spans="1:7" ht="38.25">
      <c r="A11" s="35" t="s">
        <v>416</v>
      </c>
      <c r="B11" s="17">
        <v>87535</v>
      </c>
      <c r="C11" s="18" t="s">
        <v>384</v>
      </c>
      <c r="D11" s="16" t="s">
        <v>11</v>
      </c>
      <c r="E11" s="174">
        <v>2.67</v>
      </c>
      <c r="F11" s="175">
        <v>16.73</v>
      </c>
      <c r="G11" s="175">
        <f>TRUNC(E11*F11,2)</f>
        <v>44.66</v>
      </c>
    </row>
    <row r="12" spans="1:7" ht="38.25">
      <c r="A12" s="35" t="s">
        <v>417</v>
      </c>
      <c r="B12" s="17">
        <v>87879</v>
      </c>
      <c r="C12" s="18" t="s">
        <v>408</v>
      </c>
      <c r="D12" s="16" t="s">
        <v>11</v>
      </c>
      <c r="E12" s="174">
        <v>2.67</v>
      </c>
      <c r="F12" s="175">
        <v>2.18</v>
      </c>
      <c r="G12" s="175">
        <f>TRUNC(E12*F12,2)</f>
        <v>5.82</v>
      </c>
    </row>
    <row r="13" spans="1:7" ht="25.5">
      <c r="A13" s="35" t="s">
        <v>418</v>
      </c>
      <c r="B13" s="17" t="s">
        <v>202</v>
      </c>
      <c r="C13" s="30" t="s">
        <v>388</v>
      </c>
      <c r="D13" s="16" t="s">
        <v>12</v>
      </c>
      <c r="E13" s="174">
        <v>0.87</v>
      </c>
      <c r="F13" s="175">
        <v>35.21</v>
      </c>
      <c r="G13" s="175">
        <f>TRUNC(E13*F13,2)</f>
        <v>30.63</v>
      </c>
    </row>
    <row r="14" spans="1:7" ht="12.75">
      <c r="A14" s="335" t="s">
        <v>191</v>
      </c>
      <c r="B14" s="335"/>
      <c r="C14" s="335"/>
      <c r="D14" s="376">
        <f>SUM(G10:G13)</f>
        <v>566.08</v>
      </c>
      <c r="E14" s="376"/>
      <c r="F14" s="376"/>
      <c r="G14" s="376"/>
    </row>
    <row r="15" spans="1:7" ht="12.75">
      <c r="A15" s="357" t="s">
        <v>4</v>
      </c>
      <c r="B15" s="358"/>
      <c r="C15" s="358"/>
      <c r="D15" s="339">
        <f>SUM(D14)</f>
        <v>566.08</v>
      </c>
      <c r="E15" s="339"/>
      <c r="F15" s="339"/>
      <c r="G15" s="339"/>
    </row>
  </sheetData>
  <sheetProtection/>
  <mergeCells count="16">
    <mergeCell ref="F7:G7"/>
    <mergeCell ref="C9:G9"/>
    <mergeCell ref="A14:C14"/>
    <mergeCell ref="D14:G14"/>
    <mergeCell ref="A15:C15"/>
    <mergeCell ref="D15:G15"/>
    <mergeCell ref="A1:G1"/>
    <mergeCell ref="A2:G2"/>
    <mergeCell ref="A3:G3"/>
    <mergeCell ref="A4:G4"/>
    <mergeCell ref="A5:G6"/>
    <mergeCell ref="A7:A8"/>
    <mergeCell ref="B7:B8"/>
    <mergeCell ref="C7:C8"/>
    <mergeCell ref="D7:D8"/>
    <mergeCell ref="E7:E8"/>
  </mergeCells>
  <printOptions/>
  <pageMargins left="0.5905511811023623" right="0.1968503937007874" top="1.7716535433070868" bottom="0.7874015748031497" header="0.3937007874015748" footer="0.3937007874015748"/>
  <pageSetup horizontalDpi="600" verticalDpi="600" orientation="portrait" paperSize="9" scale="85" r:id="rId3"/>
  <headerFooter>
    <oddHeader>&amp;L&amp;G&amp;C&amp;"Arial Narrow,Normal"
&amp;"Arial Narrow,Negrito"&amp;14PREFEITURA DE CARACOL&amp;12
ESTADO DE MATO GROSSO DO SUL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90" zoomScaleSheetLayoutView="100" workbookViewId="0" topLeftCell="A1">
      <selection activeCell="F16" sqref="F16"/>
    </sheetView>
  </sheetViews>
  <sheetFormatPr defaultColWidth="9.140625" defaultRowHeight="12.75"/>
  <cols>
    <col min="1" max="2" width="9.7109375" style="115" customWidth="1"/>
    <col min="3" max="3" width="60.7109375" style="115" customWidth="1"/>
    <col min="4" max="4" width="4.7109375" style="115" customWidth="1"/>
    <col min="5" max="5" width="7.7109375" style="115" bestFit="1" customWidth="1"/>
    <col min="6" max="7" width="10.7109375" style="115" customWidth="1"/>
    <col min="8" max="16384" width="9.140625" style="115" customWidth="1"/>
  </cols>
  <sheetData>
    <row r="1" spans="1:7" ht="12.75">
      <c r="A1" s="295" t="s">
        <v>403</v>
      </c>
      <c r="B1" s="295"/>
      <c r="C1" s="295"/>
      <c r="D1" s="295"/>
      <c r="E1" s="295"/>
      <c r="F1" s="295"/>
      <c r="G1" s="295"/>
    </row>
    <row r="2" spans="1:7" ht="12.75">
      <c r="A2" s="295" t="s">
        <v>476</v>
      </c>
      <c r="B2" s="295"/>
      <c r="C2" s="295"/>
      <c r="D2" s="295"/>
      <c r="E2" s="295"/>
      <c r="F2" s="295"/>
      <c r="G2" s="295"/>
    </row>
    <row r="3" spans="1:7" ht="12.75">
      <c r="A3" s="295" t="s">
        <v>482</v>
      </c>
      <c r="B3" s="295"/>
      <c r="C3" s="295"/>
      <c r="D3" s="295"/>
      <c r="E3" s="295"/>
      <c r="F3" s="295"/>
      <c r="G3" s="295"/>
    </row>
    <row r="4" spans="1:7" ht="12.75">
      <c r="A4" s="295" t="s">
        <v>481</v>
      </c>
      <c r="B4" s="295"/>
      <c r="C4" s="295"/>
      <c r="D4" s="295"/>
      <c r="E4" s="295"/>
      <c r="F4" s="295"/>
      <c r="G4" s="295"/>
    </row>
    <row r="5" spans="1:7" ht="12.75">
      <c r="A5" s="351" t="s">
        <v>466</v>
      </c>
      <c r="B5" s="351"/>
      <c r="C5" s="351"/>
      <c r="D5" s="351"/>
      <c r="E5" s="351"/>
      <c r="F5" s="351"/>
      <c r="G5" s="351"/>
    </row>
    <row r="6" spans="1:7" ht="12.75">
      <c r="A6" s="352"/>
      <c r="B6" s="352"/>
      <c r="C6" s="352"/>
      <c r="D6" s="352"/>
      <c r="E6" s="352"/>
      <c r="F6" s="352"/>
      <c r="G6" s="352"/>
    </row>
    <row r="7" spans="1:7" ht="12.75">
      <c r="A7" s="341" t="s">
        <v>0</v>
      </c>
      <c r="B7" s="341" t="s">
        <v>112</v>
      </c>
      <c r="C7" s="341" t="s">
        <v>1</v>
      </c>
      <c r="D7" s="341" t="s">
        <v>15</v>
      </c>
      <c r="E7" s="341" t="s">
        <v>2</v>
      </c>
      <c r="F7" s="341" t="s">
        <v>201</v>
      </c>
      <c r="G7" s="341"/>
    </row>
    <row r="8" spans="1:7" ht="25.5">
      <c r="A8" s="341"/>
      <c r="B8" s="341"/>
      <c r="C8" s="341"/>
      <c r="D8" s="341"/>
      <c r="E8" s="341"/>
      <c r="F8" s="11" t="s">
        <v>6</v>
      </c>
      <c r="G8" s="11" t="s">
        <v>7</v>
      </c>
    </row>
    <row r="9" spans="1:7" ht="12.75">
      <c r="A9" s="28" t="s">
        <v>419</v>
      </c>
      <c r="B9" s="106"/>
      <c r="C9" s="373" t="s">
        <v>402</v>
      </c>
      <c r="D9" s="374"/>
      <c r="E9" s="374"/>
      <c r="F9" s="374"/>
      <c r="G9" s="375"/>
    </row>
    <row r="10" spans="1:7" ht="38.25">
      <c r="A10" s="35" t="s">
        <v>420</v>
      </c>
      <c r="B10" s="17">
        <v>72133</v>
      </c>
      <c r="C10" s="18" t="s">
        <v>383</v>
      </c>
      <c r="D10" s="16" t="s">
        <v>11</v>
      </c>
      <c r="E10" s="174">
        <v>12.6</v>
      </c>
      <c r="F10" s="32">
        <v>190.48</v>
      </c>
      <c r="G10" s="175">
        <f aca="true" t="shared" si="0" ref="G10:G22">TRUNC(E10*F10,2)</f>
        <v>2400.04</v>
      </c>
    </row>
    <row r="11" spans="1:7" ht="38.25">
      <c r="A11" s="35" t="s">
        <v>421</v>
      </c>
      <c r="B11" s="17">
        <v>87535</v>
      </c>
      <c r="C11" s="18" t="s">
        <v>384</v>
      </c>
      <c r="D11" s="16" t="s">
        <v>11</v>
      </c>
      <c r="E11" s="174">
        <v>11.4</v>
      </c>
      <c r="F11" s="32">
        <v>18.55</v>
      </c>
      <c r="G11" s="175">
        <f t="shared" si="0"/>
        <v>211.47</v>
      </c>
    </row>
    <row r="12" spans="1:7" ht="38.25">
      <c r="A12" s="35" t="s">
        <v>422</v>
      </c>
      <c r="B12" s="17">
        <v>87879</v>
      </c>
      <c r="C12" s="18" t="s">
        <v>408</v>
      </c>
      <c r="D12" s="16" t="s">
        <v>11</v>
      </c>
      <c r="E12" s="174">
        <v>11.4</v>
      </c>
      <c r="F12" s="32">
        <v>2.39</v>
      </c>
      <c r="G12" s="175">
        <f t="shared" si="0"/>
        <v>27.24</v>
      </c>
    </row>
    <row r="13" spans="1:7" ht="25.5">
      <c r="A13" s="35" t="s">
        <v>423</v>
      </c>
      <c r="B13" s="127" t="s">
        <v>385</v>
      </c>
      <c r="C13" s="30" t="s">
        <v>386</v>
      </c>
      <c r="D13" s="16" t="s">
        <v>387</v>
      </c>
      <c r="E13" s="174">
        <v>5.44</v>
      </c>
      <c r="F13" s="32">
        <v>7.65</v>
      </c>
      <c r="G13" s="175">
        <f>TRUNC(E13*F13,2)</f>
        <v>41.61</v>
      </c>
    </row>
    <row r="14" spans="1:7" ht="25.5">
      <c r="A14" s="35" t="s">
        <v>424</v>
      </c>
      <c r="B14" s="17" t="s">
        <v>202</v>
      </c>
      <c r="C14" s="30" t="s">
        <v>388</v>
      </c>
      <c r="D14" s="16" t="s">
        <v>12</v>
      </c>
      <c r="E14" s="174">
        <v>3.19</v>
      </c>
      <c r="F14" s="32">
        <v>42.37</v>
      </c>
      <c r="G14" s="175">
        <f t="shared" si="0"/>
        <v>135.16</v>
      </c>
    </row>
    <row r="15" spans="1:7" ht="12.75">
      <c r="A15" s="35" t="s">
        <v>425</v>
      </c>
      <c r="B15" s="17">
        <v>5970</v>
      </c>
      <c r="C15" s="18" t="s">
        <v>407</v>
      </c>
      <c r="D15" s="16" t="s">
        <v>11</v>
      </c>
      <c r="E15" s="174">
        <v>10.84</v>
      </c>
      <c r="F15" s="32">
        <v>43.79</v>
      </c>
      <c r="G15" s="175">
        <f t="shared" si="0"/>
        <v>474.68</v>
      </c>
    </row>
    <row r="16" spans="1:7" ht="25.5">
      <c r="A16" s="35" t="s">
        <v>426</v>
      </c>
      <c r="B16" s="29" t="s">
        <v>389</v>
      </c>
      <c r="C16" s="30" t="s">
        <v>390</v>
      </c>
      <c r="D16" s="16" t="s">
        <v>12</v>
      </c>
      <c r="E16" s="174">
        <v>1.15</v>
      </c>
      <c r="F16" s="32">
        <v>23.19</v>
      </c>
      <c r="G16" s="175">
        <f t="shared" si="0"/>
        <v>26.66</v>
      </c>
    </row>
    <row r="17" spans="1:7" ht="12.75">
      <c r="A17" s="35" t="s">
        <v>427</v>
      </c>
      <c r="B17" s="29" t="s">
        <v>397</v>
      </c>
      <c r="C17" s="30" t="s">
        <v>399</v>
      </c>
      <c r="D17" s="16" t="s">
        <v>11</v>
      </c>
      <c r="E17" s="174">
        <v>8.41</v>
      </c>
      <c r="F17" s="32">
        <v>3.99</v>
      </c>
      <c r="G17" s="175">
        <f t="shared" si="0"/>
        <v>33.55</v>
      </c>
    </row>
    <row r="18" spans="1:7" ht="25.5">
      <c r="A18" s="35" t="s">
        <v>428</v>
      </c>
      <c r="B18" s="29" t="s">
        <v>398</v>
      </c>
      <c r="C18" s="30" t="s">
        <v>400</v>
      </c>
      <c r="D18" s="16" t="s">
        <v>12</v>
      </c>
      <c r="E18" s="174">
        <v>2.04</v>
      </c>
      <c r="F18" s="32">
        <v>414</v>
      </c>
      <c r="G18" s="175">
        <f t="shared" si="0"/>
        <v>844.56</v>
      </c>
    </row>
    <row r="19" spans="1:7" ht="12.75">
      <c r="A19" s="35" t="s">
        <v>429</v>
      </c>
      <c r="B19" s="29" t="s">
        <v>391</v>
      </c>
      <c r="C19" s="30" t="s">
        <v>392</v>
      </c>
      <c r="D19" s="16" t="s">
        <v>12</v>
      </c>
      <c r="E19" s="174">
        <v>0.87</v>
      </c>
      <c r="F19" s="32">
        <v>330.69</v>
      </c>
      <c r="G19" s="175">
        <f t="shared" si="0"/>
        <v>287.7</v>
      </c>
    </row>
    <row r="20" spans="1:7" ht="12.75">
      <c r="A20" s="35" t="s">
        <v>430</v>
      </c>
      <c r="B20" s="29" t="s">
        <v>296</v>
      </c>
      <c r="C20" s="30" t="s">
        <v>401</v>
      </c>
      <c r="D20" s="16" t="s">
        <v>12</v>
      </c>
      <c r="E20" s="174">
        <f>E19</f>
        <v>0.87</v>
      </c>
      <c r="F20" s="32">
        <v>79.52</v>
      </c>
      <c r="G20" s="175">
        <f t="shared" si="0"/>
        <v>69.18</v>
      </c>
    </row>
    <row r="21" spans="1:7" ht="12.75">
      <c r="A21" s="35" t="s">
        <v>431</v>
      </c>
      <c r="B21" s="21" t="s">
        <v>393</v>
      </c>
      <c r="C21" s="30" t="s">
        <v>394</v>
      </c>
      <c r="D21" s="16" t="s">
        <v>12</v>
      </c>
      <c r="E21" s="174">
        <v>0.36</v>
      </c>
      <c r="F21" s="32">
        <v>81.43</v>
      </c>
      <c r="G21" s="175">
        <f t="shared" si="0"/>
        <v>29.31</v>
      </c>
    </row>
    <row r="22" spans="1:7" ht="25.5">
      <c r="A22" s="35" t="s">
        <v>432</v>
      </c>
      <c r="B22" s="127" t="s">
        <v>395</v>
      </c>
      <c r="C22" s="30" t="s">
        <v>396</v>
      </c>
      <c r="D22" s="16" t="s">
        <v>387</v>
      </c>
      <c r="E22" s="174">
        <v>60.64</v>
      </c>
      <c r="F22" s="32">
        <v>7.8</v>
      </c>
      <c r="G22" s="175">
        <f t="shared" si="0"/>
        <v>472.99</v>
      </c>
    </row>
    <row r="23" spans="1:7" ht="12.75">
      <c r="A23" s="335" t="s">
        <v>191</v>
      </c>
      <c r="B23" s="335"/>
      <c r="C23" s="335"/>
      <c r="D23" s="370">
        <f>SUM(G10:G22)</f>
        <v>5054.15</v>
      </c>
      <c r="E23" s="370"/>
      <c r="F23" s="370"/>
      <c r="G23" s="370"/>
    </row>
    <row r="24" spans="1:7" ht="12.75">
      <c r="A24" s="357" t="s">
        <v>4</v>
      </c>
      <c r="B24" s="358"/>
      <c r="C24" s="358"/>
      <c r="D24" s="342">
        <f>SUM(D23)</f>
        <v>5054.15</v>
      </c>
      <c r="E24" s="342"/>
      <c r="F24" s="342"/>
      <c r="G24" s="342"/>
    </row>
  </sheetData>
  <sheetProtection/>
  <mergeCells count="16">
    <mergeCell ref="A1:G1"/>
    <mergeCell ref="A2:G2"/>
    <mergeCell ref="A3:G3"/>
    <mergeCell ref="A4:G4"/>
    <mergeCell ref="A5:G6"/>
    <mergeCell ref="A7:A8"/>
    <mergeCell ref="B7:B8"/>
    <mergeCell ref="C7:C8"/>
    <mergeCell ref="D7:D8"/>
    <mergeCell ref="E7:E8"/>
    <mergeCell ref="F7:G7"/>
    <mergeCell ref="C9:G9"/>
    <mergeCell ref="A23:C23"/>
    <mergeCell ref="D23:G23"/>
    <mergeCell ref="A24:C24"/>
    <mergeCell ref="D24:G24"/>
  </mergeCells>
  <printOptions/>
  <pageMargins left="0.5905511811023623" right="0.1968503937007874" top="1.7716535433070868" bottom="0.7874015748031497" header="0.3937007874015748" footer="0.3937007874015748"/>
  <pageSetup horizontalDpi="600" verticalDpi="600" orientation="portrait" paperSize="9" scale="85" r:id="rId3"/>
  <headerFooter>
    <oddHeader>&amp;L&amp;G&amp;C
&amp;"Arial,Negrito"&amp;14PREFEITURA DE CARACOL&amp;12
ESTADO DE MATO GROSSO DO SUL</oddHeader>
  </headerFooter>
  <ignoredErrors>
    <ignoredError sqref="B17:B18" numberStoredAsText="1"/>
  </ignoredErrors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V24"/>
  <sheetViews>
    <sheetView view="pageBreakPreview" zoomScaleSheetLayoutView="100" workbookViewId="0" topLeftCell="A1">
      <selection activeCell="I21" sqref="I21"/>
    </sheetView>
  </sheetViews>
  <sheetFormatPr defaultColWidth="9.140625" defaultRowHeight="12.75"/>
  <cols>
    <col min="1" max="2" width="9.7109375" style="24" customWidth="1"/>
    <col min="3" max="3" width="57.7109375" style="13" customWidth="1"/>
    <col min="4" max="4" width="4.28125" style="13" bestFit="1" customWidth="1"/>
    <col min="5" max="5" width="6.7109375" style="24" customWidth="1"/>
    <col min="6" max="6" width="8.7109375" style="25" customWidth="1"/>
    <col min="7" max="7" width="8.7109375" style="26" customWidth="1"/>
    <col min="8" max="8" width="8.7109375" style="27" customWidth="1"/>
    <col min="9" max="9" width="6.57421875" style="2" bestFit="1" customWidth="1"/>
    <col min="10" max="10" width="6.421875" style="2" bestFit="1" customWidth="1"/>
    <col min="11" max="11" width="6.57421875" style="2" bestFit="1" customWidth="1"/>
    <col min="12" max="12" width="11.28125" style="2" customWidth="1"/>
    <col min="13" max="230" width="9.140625" style="2" customWidth="1"/>
    <col min="231" max="16384" width="9.140625" style="13" customWidth="1"/>
  </cols>
  <sheetData>
    <row r="1" spans="1:8" s="2" customFormat="1" ht="12.75" customHeight="1">
      <c r="A1" s="295" t="s">
        <v>358</v>
      </c>
      <c r="B1" s="295"/>
      <c r="C1" s="295"/>
      <c r="D1" s="295"/>
      <c r="E1" s="295"/>
      <c r="F1" s="295"/>
      <c r="G1" s="295"/>
      <c r="H1" s="295"/>
    </row>
    <row r="2" spans="1:8" s="2" customFormat="1" ht="12.75" customHeight="1">
      <c r="A2" s="295" t="s">
        <v>476</v>
      </c>
      <c r="B2" s="295"/>
      <c r="C2" s="295"/>
      <c r="D2" s="295"/>
      <c r="E2" s="295"/>
      <c r="F2" s="295"/>
      <c r="G2" s="295"/>
      <c r="H2" s="295"/>
    </row>
    <row r="3" spans="1:9" s="2" customFormat="1" ht="12.75" customHeight="1">
      <c r="A3" s="295" t="s">
        <v>482</v>
      </c>
      <c r="B3" s="295"/>
      <c r="C3" s="295"/>
      <c r="D3" s="295"/>
      <c r="E3" s="295"/>
      <c r="F3" s="295"/>
      <c r="G3" s="295"/>
      <c r="H3" s="295"/>
      <c r="I3" s="6"/>
    </row>
    <row r="4" spans="1:10" s="2" customFormat="1" ht="12.75" customHeight="1">
      <c r="A4" s="295" t="s">
        <v>481</v>
      </c>
      <c r="B4" s="295"/>
      <c r="C4" s="295"/>
      <c r="D4" s="295"/>
      <c r="E4" s="295"/>
      <c r="F4" s="295"/>
      <c r="G4" s="295"/>
      <c r="H4" s="295"/>
      <c r="I4" s="101">
        <v>0.25</v>
      </c>
      <c r="J4" s="107">
        <v>0.105</v>
      </c>
    </row>
    <row r="5" spans="1:10" s="2" customFormat="1" ht="12.75">
      <c r="A5" s="295" t="s">
        <v>477</v>
      </c>
      <c r="B5" s="295"/>
      <c r="C5" s="295"/>
      <c r="D5" s="295"/>
      <c r="E5" s="295"/>
      <c r="F5" s="295"/>
      <c r="G5" s="295"/>
      <c r="H5" s="295"/>
      <c r="I5" s="101"/>
      <c r="J5" s="107"/>
    </row>
    <row r="6" spans="1:10" s="2" customFormat="1" ht="12.75">
      <c r="A6" s="295" t="s">
        <v>478</v>
      </c>
      <c r="B6" s="295"/>
      <c r="C6" s="295"/>
      <c r="D6" s="295"/>
      <c r="E6" s="295"/>
      <c r="F6" s="295"/>
      <c r="G6" s="295"/>
      <c r="H6" s="295"/>
      <c r="I6" s="101"/>
      <c r="J6" s="107"/>
    </row>
    <row r="7" spans="1:9" s="2" customFormat="1" ht="12.75" customHeight="1">
      <c r="A7" s="351" t="s">
        <v>467</v>
      </c>
      <c r="B7" s="351"/>
      <c r="C7" s="351"/>
      <c r="D7" s="351"/>
      <c r="E7" s="351"/>
      <c r="F7" s="351"/>
      <c r="G7" s="351"/>
      <c r="H7" s="351"/>
      <c r="I7" s="6"/>
    </row>
    <row r="8" spans="1:8" s="2" customFormat="1" ht="15.75" customHeight="1">
      <c r="A8" s="352"/>
      <c r="B8" s="352"/>
      <c r="C8" s="352"/>
      <c r="D8" s="352"/>
      <c r="E8" s="352"/>
      <c r="F8" s="352"/>
      <c r="G8" s="352"/>
      <c r="H8" s="352"/>
    </row>
    <row r="9" spans="1:230" s="12" customFormat="1" ht="12.75" customHeight="1">
      <c r="A9" s="341" t="s">
        <v>0</v>
      </c>
      <c r="B9" s="341" t="s">
        <v>112</v>
      </c>
      <c r="C9" s="341" t="s">
        <v>1</v>
      </c>
      <c r="D9" s="341" t="s">
        <v>18</v>
      </c>
      <c r="E9" s="341" t="s">
        <v>15</v>
      </c>
      <c r="F9" s="341" t="s">
        <v>2</v>
      </c>
      <c r="G9" s="341" t="s">
        <v>201</v>
      </c>
      <c r="H9" s="34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s="12" customFormat="1" ht="12.75" customHeight="1">
      <c r="A10" s="341"/>
      <c r="B10" s="341"/>
      <c r="C10" s="341"/>
      <c r="D10" s="341"/>
      <c r="E10" s="341"/>
      <c r="F10" s="341"/>
      <c r="G10" s="11" t="s">
        <v>6</v>
      </c>
      <c r="H10" s="11" t="s">
        <v>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12" ht="12.75" customHeight="1">
      <c r="A11" s="28" t="s">
        <v>433</v>
      </c>
      <c r="B11" s="106"/>
      <c r="C11" s="371" t="s">
        <v>164</v>
      </c>
      <c r="D11" s="371"/>
      <c r="E11" s="371"/>
      <c r="F11" s="371"/>
      <c r="G11" s="371"/>
      <c r="H11" s="371"/>
      <c r="I11" s="5"/>
      <c r="J11" s="5"/>
      <c r="K11" s="5"/>
      <c r="L11" s="5"/>
    </row>
    <row r="12" spans="1:12" ht="25.5">
      <c r="A12" s="35" t="s">
        <v>434</v>
      </c>
      <c r="B12" s="151">
        <v>72961</v>
      </c>
      <c r="C12" s="18" t="s">
        <v>110</v>
      </c>
      <c r="D12" s="17"/>
      <c r="E12" s="16" t="s">
        <v>11</v>
      </c>
      <c r="F12" s="174" t="e">
        <f>MEM_DRENAGEM!#REF!</f>
        <v>#REF!</v>
      </c>
      <c r="G12" s="175">
        <f aca="true" t="shared" si="0" ref="G12:G20">K12</f>
        <v>1.36</v>
      </c>
      <c r="H12" s="175" t="e">
        <f>TRUNC(F12*G12,2)</f>
        <v>#REF!</v>
      </c>
      <c r="I12" s="5">
        <v>1.09</v>
      </c>
      <c r="J12" s="5">
        <f>TRUNC(I12*$I$4,2)</f>
        <v>0.27</v>
      </c>
      <c r="K12" s="5">
        <f>TRUNC(SUM(I12:J12),2)</f>
        <v>1.36</v>
      </c>
      <c r="L12" s="5"/>
    </row>
    <row r="13" spans="1:12" ht="38.25">
      <c r="A13" s="35" t="s">
        <v>435</v>
      </c>
      <c r="B13" s="151" t="s">
        <v>200</v>
      </c>
      <c r="C13" s="18" t="s">
        <v>244</v>
      </c>
      <c r="D13" s="17"/>
      <c r="E13" s="16" t="s">
        <v>12</v>
      </c>
      <c r="F13" s="174" t="e">
        <f>MEM_DRENAGEM!D75</f>
        <v>#REF!</v>
      </c>
      <c r="G13" s="175">
        <f t="shared" si="0"/>
        <v>3.83</v>
      </c>
      <c r="H13" s="175" t="e">
        <f>TRUNC(F13*G13,2)</f>
        <v>#REF!</v>
      </c>
      <c r="I13" s="5">
        <v>3.07</v>
      </c>
      <c r="J13" s="5">
        <f aca="true" t="shared" si="1" ref="J13:J20">TRUNC(I13*$I$4,2)</f>
        <v>0.76</v>
      </c>
      <c r="K13" s="5">
        <f>TRUNC(SUM(I13:J13),2)</f>
        <v>3.83</v>
      </c>
      <c r="L13" s="5"/>
    </row>
    <row r="14" spans="1:12" ht="25.5">
      <c r="A14" s="35" t="s">
        <v>436</v>
      </c>
      <c r="B14" s="144">
        <v>72875</v>
      </c>
      <c r="C14" s="30" t="s">
        <v>308</v>
      </c>
      <c r="D14" s="141">
        <v>8</v>
      </c>
      <c r="E14" s="16" t="s">
        <v>198</v>
      </c>
      <c r="F14" s="174" t="e">
        <f>MEM_DRENAGEM!E75</f>
        <v>#REF!</v>
      </c>
      <c r="G14" s="175">
        <f t="shared" si="0"/>
        <v>1.43</v>
      </c>
      <c r="H14" s="175" t="e">
        <f>TRUNC(F14*G14,2)</f>
        <v>#REF!</v>
      </c>
      <c r="I14" s="5">
        <v>1.15</v>
      </c>
      <c r="J14" s="5">
        <f t="shared" si="1"/>
        <v>0.28</v>
      </c>
      <c r="K14" s="5">
        <f>TRUNC(SUM(I14:J14),2)</f>
        <v>1.43</v>
      </c>
      <c r="L14" s="5"/>
    </row>
    <row r="15" spans="1:12" ht="25.5">
      <c r="A15" s="35" t="s">
        <v>437</v>
      </c>
      <c r="B15" s="17">
        <v>72911</v>
      </c>
      <c r="C15" s="18" t="s">
        <v>412</v>
      </c>
      <c r="D15" s="17"/>
      <c r="E15" s="16" t="s">
        <v>12</v>
      </c>
      <c r="F15" s="174" t="e">
        <f>MEM_DRENAGEM!F75</f>
        <v>#REF!</v>
      </c>
      <c r="G15" s="175">
        <f t="shared" si="0"/>
        <v>10.53</v>
      </c>
      <c r="H15" s="175" t="e">
        <f aca="true" t="shared" si="2" ref="H15:H20">TRUNC(F15*G15,2)</f>
        <v>#REF!</v>
      </c>
      <c r="I15" s="5">
        <v>8.43</v>
      </c>
      <c r="J15" s="5">
        <f t="shared" si="1"/>
        <v>2.1</v>
      </c>
      <c r="K15" s="5">
        <f aca="true" t="shared" si="3" ref="K15:K20">TRUNC(SUM(I15:J15),2)</f>
        <v>10.53</v>
      </c>
      <c r="L15" s="5"/>
    </row>
    <row r="16" spans="1:12" ht="12.75">
      <c r="A16" s="35" t="s">
        <v>438</v>
      </c>
      <c r="B16" s="17">
        <v>72945</v>
      </c>
      <c r="C16" s="18" t="s">
        <v>196</v>
      </c>
      <c r="D16" s="17"/>
      <c r="E16" s="16" t="s">
        <v>11</v>
      </c>
      <c r="F16" s="174" t="e">
        <f>MEM_DRENAGEM!G75</f>
        <v>#REF!</v>
      </c>
      <c r="G16" s="175">
        <f t="shared" si="0"/>
        <v>5.66</v>
      </c>
      <c r="H16" s="175" t="e">
        <f t="shared" si="2"/>
        <v>#REF!</v>
      </c>
      <c r="I16" s="5">
        <v>4.53</v>
      </c>
      <c r="J16" s="5">
        <f t="shared" si="1"/>
        <v>1.13</v>
      </c>
      <c r="K16" s="5">
        <f t="shared" si="3"/>
        <v>5.66</v>
      </c>
      <c r="L16" s="5"/>
    </row>
    <row r="17" spans="1:12" ht="25.5">
      <c r="A17" s="35" t="s">
        <v>439</v>
      </c>
      <c r="B17" s="138" t="s">
        <v>249</v>
      </c>
      <c r="C17" s="22" t="s">
        <v>215</v>
      </c>
      <c r="D17" s="35"/>
      <c r="E17" s="16" t="s">
        <v>28</v>
      </c>
      <c r="F17" s="174" t="e">
        <f>MEM_DRENAGEM!I75</f>
        <v>#REF!</v>
      </c>
      <c r="G17" s="175">
        <f t="shared" si="0"/>
        <v>298.35</v>
      </c>
      <c r="H17" s="175" t="e">
        <f t="shared" si="2"/>
        <v>#REF!</v>
      </c>
      <c r="I17" s="5">
        <v>270</v>
      </c>
      <c r="J17" s="5">
        <f>TRUNC(I17*$J$4,2)</f>
        <v>28.35</v>
      </c>
      <c r="K17" s="5">
        <f t="shared" si="3"/>
        <v>298.35</v>
      </c>
      <c r="L17" s="5"/>
    </row>
    <row r="18" spans="1:12" ht="25.5">
      <c r="A18" s="35" t="s">
        <v>440</v>
      </c>
      <c r="B18" s="138" t="s">
        <v>413</v>
      </c>
      <c r="C18" s="22" t="s">
        <v>250</v>
      </c>
      <c r="D18" s="35"/>
      <c r="E18" s="16" t="s">
        <v>28</v>
      </c>
      <c r="F18" s="174" t="e">
        <f>F17</f>
        <v>#REF!</v>
      </c>
      <c r="G18" s="175" t="e">
        <f t="shared" si="0"/>
        <v>#REF!</v>
      </c>
      <c r="H18" s="175" t="e">
        <f t="shared" si="2"/>
        <v>#REF!</v>
      </c>
      <c r="I18" s="5" t="e">
        <f>#REF!</f>
        <v>#REF!</v>
      </c>
      <c r="J18" s="5" t="e">
        <f t="shared" si="1"/>
        <v>#REF!</v>
      </c>
      <c r="K18" s="5" t="e">
        <f t="shared" si="3"/>
        <v>#REF!</v>
      </c>
      <c r="L18" s="5"/>
    </row>
    <row r="19" spans="1:12" ht="12.75">
      <c r="A19" s="35" t="s">
        <v>441</v>
      </c>
      <c r="B19" s="138" t="s">
        <v>251</v>
      </c>
      <c r="C19" s="22" t="s">
        <v>252</v>
      </c>
      <c r="D19" s="35" t="s">
        <v>479</v>
      </c>
      <c r="E19" s="16" t="s">
        <v>198</v>
      </c>
      <c r="F19" s="174" t="e">
        <f>MEM_DRENAGEM!J75</f>
        <v>#REF!</v>
      </c>
      <c r="G19" s="175">
        <f t="shared" si="0"/>
        <v>0.98</v>
      </c>
      <c r="H19" s="175" t="e">
        <f t="shared" si="2"/>
        <v>#REF!</v>
      </c>
      <c r="I19" s="5">
        <v>0.79</v>
      </c>
      <c r="J19" s="5">
        <f t="shared" si="1"/>
        <v>0.19</v>
      </c>
      <c r="K19" s="5">
        <f t="shared" si="3"/>
        <v>0.98</v>
      </c>
      <c r="L19" s="5"/>
    </row>
    <row r="20" spans="1:12" ht="12.75">
      <c r="A20" s="35" t="s">
        <v>442</v>
      </c>
      <c r="B20" s="138" t="s">
        <v>309</v>
      </c>
      <c r="C20" s="22" t="s">
        <v>310</v>
      </c>
      <c r="D20" s="35" t="s">
        <v>480</v>
      </c>
      <c r="E20" s="16" t="s">
        <v>31</v>
      </c>
      <c r="F20" s="174" t="e">
        <f>MEM_DRENAGEM!H75</f>
        <v>#REF!</v>
      </c>
      <c r="G20" s="175">
        <f t="shared" si="0"/>
        <v>3.72</v>
      </c>
      <c r="H20" s="175" t="e">
        <f t="shared" si="2"/>
        <v>#REF!</v>
      </c>
      <c r="I20" s="5">
        <v>2.98</v>
      </c>
      <c r="J20" s="5">
        <f t="shared" si="1"/>
        <v>0.74</v>
      </c>
      <c r="K20" s="5">
        <f t="shared" si="3"/>
        <v>3.72</v>
      </c>
      <c r="L20" s="5"/>
    </row>
    <row r="21" spans="1:12" ht="12.75">
      <c r="A21" s="335" t="s">
        <v>191</v>
      </c>
      <c r="B21" s="335"/>
      <c r="C21" s="335"/>
      <c r="D21" s="382" t="e">
        <f>SUM(H12:H20)</f>
        <v>#REF!</v>
      </c>
      <c r="E21" s="383"/>
      <c r="F21" s="383"/>
      <c r="G21" s="383"/>
      <c r="H21" s="384"/>
      <c r="I21" s="5"/>
      <c r="J21" s="5"/>
      <c r="K21" s="5"/>
      <c r="L21" s="5"/>
    </row>
    <row r="22" spans="1:12" ht="12.75">
      <c r="A22" s="341" t="s">
        <v>4</v>
      </c>
      <c r="B22" s="341"/>
      <c r="C22" s="341"/>
      <c r="D22" s="343" t="e">
        <f>SUM(D21)</f>
        <v>#REF!</v>
      </c>
      <c r="E22" s="344"/>
      <c r="F22" s="344"/>
      <c r="G22" s="344"/>
      <c r="H22" s="345"/>
      <c r="I22" s="5"/>
      <c r="J22" s="5"/>
      <c r="K22" s="5"/>
      <c r="L22" s="5"/>
    </row>
    <row r="23" spans="1:8" ht="12.75">
      <c r="A23" s="377" t="s">
        <v>359</v>
      </c>
      <c r="B23" s="378"/>
      <c r="C23" s="379"/>
      <c r="D23" s="380" t="e">
        <f>D22/F12</f>
        <v>#REF!</v>
      </c>
      <c r="E23" s="381"/>
      <c r="F23" s="381"/>
      <c r="G23" s="381"/>
      <c r="H23" s="381"/>
    </row>
    <row r="24" ht="12.75">
      <c r="I24" s="6"/>
    </row>
  </sheetData>
  <sheetProtection/>
  <mergeCells count="21">
    <mergeCell ref="A7:H8"/>
    <mergeCell ref="F9:F10"/>
    <mergeCell ref="D22:H22"/>
    <mergeCell ref="C9:C10"/>
    <mergeCell ref="G9:H9"/>
    <mergeCell ref="B9:B10"/>
    <mergeCell ref="A5:H5"/>
    <mergeCell ref="D21:H21"/>
    <mergeCell ref="E9:E10"/>
    <mergeCell ref="A9:A10"/>
    <mergeCell ref="A6:H6"/>
    <mergeCell ref="A1:H1"/>
    <mergeCell ref="A2:H2"/>
    <mergeCell ref="A3:H3"/>
    <mergeCell ref="A4:H4"/>
    <mergeCell ref="D9:D10"/>
    <mergeCell ref="A23:C23"/>
    <mergeCell ref="D23:H23"/>
    <mergeCell ref="C11:H11"/>
    <mergeCell ref="A21:C21"/>
    <mergeCell ref="A22:C22"/>
  </mergeCells>
  <printOptions/>
  <pageMargins left="0.5905511811023623" right="0.1968503937007874" top="1.7716535433070868" bottom="0.7874015748031497" header="0.3937007874015748" footer="0.3937007874015748"/>
  <pageSetup horizontalDpi="600" verticalDpi="600" orientation="portrait" paperSize="9" scale="85" r:id="rId3"/>
  <headerFooter>
    <oddHeader>&amp;L&amp;G&amp;C
&amp;"Arial,Negrito"&amp;14PREFEITURA DE CARACOL&amp;12
ESTADO DE MATO GROSSO DO SUL</oddHeader>
  </headerFooter>
  <ignoredErrors>
    <ignoredError sqref="B19:B20 D19:D20" numberStoredAsText="1"/>
    <ignoredError sqref="J17" formula="1"/>
  </ignoredErrors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R21"/>
  <sheetViews>
    <sheetView view="pageBreakPreview" zoomScaleSheetLayoutView="100" workbookViewId="0" topLeftCell="A1">
      <selection activeCell="F11" sqref="F11:F17"/>
    </sheetView>
  </sheetViews>
  <sheetFormatPr defaultColWidth="9.140625" defaultRowHeight="12.75"/>
  <cols>
    <col min="1" max="2" width="9.7109375" style="24" customWidth="1"/>
    <col min="3" max="3" width="59.7109375" style="13" customWidth="1"/>
    <col min="4" max="4" width="4.7109375" style="24" customWidth="1"/>
    <col min="5" max="5" width="8.7109375" style="25" customWidth="1"/>
    <col min="6" max="6" width="10.7109375" style="26" customWidth="1"/>
    <col min="7" max="7" width="10.7109375" style="27" customWidth="1"/>
    <col min="8" max="8" width="11.28125" style="2" customWidth="1"/>
    <col min="9" max="226" width="9.140625" style="2" customWidth="1"/>
    <col min="227" max="16384" width="9.140625" style="13" customWidth="1"/>
  </cols>
  <sheetData>
    <row r="1" spans="1:7" s="2" customFormat="1" ht="12.75" customHeight="1">
      <c r="A1" s="295" t="s">
        <v>303</v>
      </c>
      <c r="B1" s="295"/>
      <c r="C1" s="295"/>
      <c r="D1" s="295"/>
      <c r="E1" s="295"/>
      <c r="F1" s="295"/>
      <c r="G1" s="295"/>
    </row>
    <row r="2" spans="1:7" s="2" customFormat="1" ht="12.75" customHeight="1">
      <c r="A2" s="295" t="s">
        <v>476</v>
      </c>
      <c r="B2" s="295"/>
      <c r="C2" s="295"/>
      <c r="D2" s="295"/>
      <c r="E2" s="295"/>
      <c r="F2" s="295"/>
      <c r="G2" s="295"/>
    </row>
    <row r="3" spans="1:7" s="2" customFormat="1" ht="12.75" customHeight="1">
      <c r="A3" s="295" t="s">
        <v>482</v>
      </c>
      <c r="B3" s="295"/>
      <c r="C3" s="295"/>
      <c r="D3" s="295"/>
      <c r="E3" s="295"/>
      <c r="F3" s="295"/>
      <c r="G3" s="295"/>
    </row>
    <row r="4" spans="1:7" s="2" customFormat="1" ht="12.75" customHeight="1">
      <c r="A4" s="295" t="s">
        <v>484</v>
      </c>
      <c r="B4" s="295"/>
      <c r="C4" s="295"/>
      <c r="D4" s="295"/>
      <c r="E4" s="295"/>
      <c r="F4" s="295"/>
      <c r="G4" s="295"/>
    </row>
    <row r="5" spans="1:7" s="2" customFormat="1" ht="12.75" customHeight="1">
      <c r="A5" s="295" t="s">
        <v>481</v>
      </c>
      <c r="B5" s="295"/>
      <c r="C5" s="295"/>
      <c r="D5" s="295"/>
      <c r="E5" s="295"/>
      <c r="F5" s="295"/>
      <c r="G5" s="295"/>
    </row>
    <row r="6" spans="1:7" s="2" customFormat="1" ht="12.75" customHeight="1">
      <c r="A6" s="351" t="s">
        <v>468</v>
      </c>
      <c r="B6" s="351"/>
      <c r="C6" s="351"/>
      <c r="D6" s="351"/>
      <c r="E6" s="351"/>
      <c r="F6" s="351"/>
      <c r="G6" s="351"/>
    </row>
    <row r="7" spans="1:7" s="2" customFormat="1" ht="15.75" customHeight="1">
      <c r="A7" s="352"/>
      <c r="B7" s="352"/>
      <c r="C7" s="352"/>
      <c r="D7" s="352"/>
      <c r="E7" s="352"/>
      <c r="F7" s="352"/>
      <c r="G7" s="352"/>
    </row>
    <row r="8" spans="1:226" s="12" customFormat="1" ht="12.75" customHeight="1">
      <c r="A8" s="341" t="s">
        <v>0</v>
      </c>
      <c r="B8" s="341" t="s">
        <v>112</v>
      </c>
      <c r="C8" s="341" t="s">
        <v>1</v>
      </c>
      <c r="D8" s="341" t="s">
        <v>15</v>
      </c>
      <c r="E8" s="341" t="s">
        <v>2</v>
      </c>
      <c r="F8" s="341" t="s">
        <v>201</v>
      </c>
      <c r="G8" s="3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</row>
    <row r="9" spans="1:226" s="12" customFormat="1" ht="12.75" customHeight="1">
      <c r="A9" s="341"/>
      <c r="B9" s="341"/>
      <c r="C9" s="341"/>
      <c r="D9" s="341"/>
      <c r="E9" s="341"/>
      <c r="F9" s="11" t="s">
        <v>6</v>
      </c>
      <c r="G9" s="11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8" ht="12.75" customHeight="1">
      <c r="A10" s="137" t="s">
        <v>444</v>
      </c>
      <c r="B10" s="106"/>
      <c r="C10" s="336" t="s">
        <v>304</v>
      </c>
      <c r="D10" s="337"/>
      <c r="E10" s="337"/>
      <c r="F10" s="337"/>
      <c r="G10" s="338"/>
      <c r="H10" s="5"/>
    </row>
    <row r="11" spans="1:8" ht="25.5">
      <c r="A11" s="35" t="s">
        <v>445</v>
      </c>
      <c r="B11" s="17">
        <v>6042</v>
      </c>
      <c r="C11" s="18" t="s">
        <v>295</v>
      </c>
      <c r="D11" s="16" t="s">
        <v>12</v>
      </c>
      <c r="E11" s="199">
        <v>0.03</v>
      </c>
      <c r="F11" s="143">
        <v>253.04</v>
      </c>
      <c r="G11" s="143">
        <f aca="true" t="shared" si="0" ref="G11:G18">TRUNC(E11*F11,2)</f>
        <v>7.59</v>
      </c>
      <c r="H11" s="5"/>
    </row>
    <row r="12" spans="1:8" ht="12.75">
      <c r="A12" s="35" t="s">
        <v>446</v>
      </c>
      <c r="B12" s="17" t="s">
        <v>296</v>
      </c>
      <c r="C12" s="18" t="s">
        <v>297</v>
      </c>
      <c r="D12" s="16" t="s">
        <v>12</v>
      </c>
      <c r="E12" s="199">
        <v>0.03</v>
      </c>
      <c r="F12" s="143">
        <v>79.52</v>
      </c>
      <c r="G12" s="143">
        <f t="shared" si="0"/>
        <v>2.38</v>
      </c>
      <c r="H12" s="5"/>
    </row>
    <row r="13" spans="1:8" ht="12.75">
      <c r="A13" s="35" t="s">
        <v>447</v>
      </c>
      <c r="B13" s="17" t="s">
        <v>298</v>
      </c>
      <c r="C13" s="18" t="s">
        <v>299</v>
      </c>
      <c r="D13" s="16" t="s">
        <v>11</v>
      </c>
      <c r="E13" s="199">
        <v>0.5</v>
      </c>
      <c r="F13" s="143">
        <v>5.11</v>
      </c>
      <c r="G13" s="143">
        <f t="shared" si="0"/>
        <v>2.55</v>
      </c>
      <c r="H13" s="5"/>
    </row>
    <row r="14" spans="1:8" ht="12.75">
      <c r="A14" s="35" t="s">
        <v>448</v>
      </c>
      <c r="B14" s="127" t="s">
        <v>300</v>
      </c>
      <c r="C14" s="139" t="s">
        <v>301</v>
      </c>
      <c r="D14" s="16" t="s">
        <v>12</v>
      </c>
      <c r="E14" s="199">
        <v>0.03</v>
      </c>
      <c r="F14" s="143">
        <v>24.21</v>
      </c>
      <c r="G14" s="143">
        <f t="shared" si="0"/>
        <v>0.72</v>
      </c>
      <c r="H14" s="5"/>
    </row>
    <row r="15" spans="1:8" ht="25.5">
      <c r="A15" s="35" t="s">
        <v>449</v>
      </c>
      <c r="B15" s="17" t="s">
        <v>375</v>
      </c>
      <c r="C15" s="139" t="s">
        <v>302</v>
      </c>
      <c r="D15" s="16" t="s">
        <v>10</v>
      </c>
      <c r="E15" s="199">
        <v>3.5</v>
      </c>
      <c r="F15" s="143">
        <v>9.57</v>
      </c>
      <c r="G15" s="143">
        <f t="shared" si="0"/>
        <v>33.49</v>
      </c>
      <c r="H15" s="5"/>
    </row>
    <row r="16" spans="1:8" ht="12.75">
      <c r="A16" s="35" t="s">
        <v>450</v>
      </c>
      <c r="B16" s="138" t="s">
        <v>471</v>
      </c>
      <c r="C16" s="139" t="s">
        <v>472</v>
      </c>
      <c r="D16" s="16" t="s">
        <v>127</v>
      </c>
      <c r="E16" s="199">
        <v>0.2</v>
      </c>
      <c r="F16" s="143">
        <v>14.93</v>
      </c>
      <c r="G16" s="143">
        <f t="shared" si="0"/>
        <v>2.98</v>
      </c>
      <c r="H16" s="5"/>
    </row>
    <row r="17" spans="1:8" ht="12.75">
      <c r="A17" s="35" t="s">
        <v>451</v>
      </c>
      <c r="B17" s="138" t="s">
        <v>473</v>
      </c>
      <c r="C17" s="139" t="s">
        <v>474</v>
      </c>
      <c r="D17" s="16" t="s">
        <v>127</v>
      </c>
      <c r="E17" s="199">
        <v>0.2</v>
      </c>
      <c r="F17" s="143">
        <v>12.1</v>
      </c>
      <c r="G17" s="143">
        <f t="shared" si="0"/>
        <v>2.42</v>
      </c>
      <c r="H17" s="5"/>
    </row>
    <row r="18" spans="1:8" ht="25.5">
      <c r="A18" s="35" t="s">
        <v>452</v>
      </c>
      <c r="B18" s="138" t="s">
        <v>464</v>
      </c>
      <c r="C18" s="139" t="s">
        <v>465</v>
      </c>
      <c r="D18" s="16" t="s">
        <v>11</v>
      </c>
      <c r="E18" s="199">
        <v>0.59</v>
      </c>
      <c r="F18" s="143">
        <v>124.69</v>
      </c>
      <c r="G18" s="143">
        <f t="shared" si="0"/>
        <v>73.56</v>
      </c>
      <c r="H18" s="5"/>
    </row>
    <row r="19" spans="1:8" ht="12.75">
      <c r="A19" s="335" t="s">
        <v>191</v>
      </c>
      <c r="B19" s="335"/>
      <c r="C19" s="335"/>
      <c r="D19" s="342">
        <f>SUM(G11:G18)</f>
        <v>125.69</v>
      </c>
      <c r="E19" s="342"/>
      <c r="F19" s="342"/>
      <c r="G19" s="342"/>
      <c r="H19" s="5"/>
    </row>
    <row r="20" spans="1:8" ht="12.75">
      <c r="A20" s="357" t="s">
        <v>4</v>
      </c>
      <c r="B20" s="358"/>
      <c r="C20" s="358"/>
      <c r="D20" s="342">
        <f>SUM(D19)</f>
        <v>125.69</v>
      </c>
      <c r="E20" s="342"/>
      <c r="F20" s="342"/>
      <c r="G20" s="342"/>
      <c r="H20" s="5"/>
    </row>
    <row r="21" spans="1:7" ht="12.75">
      <c r="A21" s="102"/>
      <c r="B21" s="102"/>
      <c r="C21" s="12"/>
      <c r="D21" s="102"/>
      <c r="E21" s="103"/>
      <c r="F21" s="104"/>
      <c r="G21" s="105"/>
    </row>
  </sheetData>
  <sheetProtection/>
  <mergeCells count="17">
    <mergeCell ref="C10:G10"/>
    <mergeCell ref="A19:C19"/>
    <mergeCell ref="D19:G19"/>
    <mergeCell ref="A20:C20"/>
    <mergeCell ref="D20:G20"/>
    <mergeCell ref="A6:G7"/>
    <mergeCell ref="A8:A9"/>
    <mergeCell ref="B8:B9"/>
    <mergeCell ref="C8:C9"/>
    <mergeCell ref="D8:D9"/>
    <mergeCell ref="E8:E9"/>
    <mergeCell ref="F8:G8"/>
    <mergeCell ref="A1:G1"/>
    <mergeCell ref="A2:G2"/>
    <mergeCell ref="A3:G3"/>
    <mergeCell ref="A5:G5"/>
    <mergeCell ref="A4:G4"/>
  </mergeCells>
  <printOptions/>
  <pageMargins left="0.5905511811023623" right="0.1968503937007874" top="1.7716535433070868" bottom="0.7874015748031497" header="0.3937007874015748" footer="0.3937007874015748"/>
  <pageSetup horizontalDpi="600" verticalDpi="600" orientation="portrait" paperSize="9" scale="85" r:id="rId3"/>
  <headerFooter>
    <oddHeader>&amp;L&amp;G&amp;C
&amp;"Arial Narrow,Negrito"&amp;14PREFEITURA DE CARACOL
&amp;12ESTADO DE MATO GROSSO DO SUL
</oddHeader>
  </headerFooter>
  <ignoredErrors>
    <ignoredError sqref="B16:B17" numberStoredAsText="1"/>
  </ignoredErrors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R21"/>
  <sheetViews>
    <sheetView view="pageBreakPreview" zoomScaleSheetLayoutView="100" workbookViewId="0" topLeftCell="A1">
      <selection activeCell="D16" sqref="D16"/>
    </sheetView>
  </sheetViews>
  <sheetFormatPr defaultColWidth="9.140625" defaultRowHeight="12.75"/>
  <cols>
    <col min="1" max="2" width="9.7109375" style="24" customWidth="1"/>
    <col min="3" max="3" width="57.7109375" style="13" customWidth="1"/>
    <col min="4" max="4" width="3.8515625" style="24" bestFit="1" customWidth="1"/>
    <col min="5" max="5" width="9.7109375" style="25" customWidth="1"/>
    <col min="6" max="6" width="9.7109375" style="26" customWidth="1"/>
    <col min="7" max="7" width="9.7109375" style="27" customWidth="1"/>
    <col min="8" max="8" width="11.28125" style="2" customWidth="1"/>
    <col min="9" max="226" width="9.140625" style="2" customWidth="1"/>
    <col min="227" max="16384" width="9.140625" style="13" customWidth="1"/>
  </cols>
  <sheetData>
    <row r="1" spans="1:7" s="2" customFormat="1" ht="12.75" customHeight="1">
      <c r="A1" s="295" t="s">
        <v>293</v>
      </c>
      <c r="B1" s="295"/>
      <c r="C1" s="295"/>
      <c r="D1" s="295"/>
      <c r="E1" s="295"/>
      <c r="F1" s="295"/>
      <c r="G1" s="295"/>
    </row>
    <row r="2" spans="1:7" s="2" customFormat="1" ht="12.75" customHeight="1">
      <c r="A2" s="295" t="s">
        <v>476</v>
      </c>
      <c r="B2" s="295"/>
      <c r="C2" s="295"/>
      <c r="D2" s="295"/>
      <c r="E2" s="295"/>
      <c r="F2" s="295"/>
      <c r="G2" s="295"/>
    </row>
    <row r="3" spans="1:7" s="2" customFormat="1" ht="12.75" customHeight="1">
      <c r="A3" s="295" t="s">
        <v>482</v>
      </c>
      <c r="B3" s="295"/>
      <c r="C3" s="295"/>
      <c r="D3" s="295"/>
      <c r="E3" s="295"/>
      <c r="F3" s="295"/>
      <c r="G3" s="295"/>
    </row>
    <row r="4" spans="1:7" s="2" customFormat="1" ht="12.75" customHeight="1">
      <c r="A4" s="295" t="s">
        <v>481</v>
      </c>
      <c r="B4" s="295"/>
      <c r="C4" s="295"/>
      <c r="D4" s="295"/>
      <c r="E4" s="295"/>
      <c r="F4" s="295"/>
      <c r="G4" s="295"/>
    </row>
    <row r="5" spans="1:7" s="2" customFormat="1" ht="12.75" customHeight="1" hidden="1">
      <c r="A5" s="2" t="s">
        <v>161</v>
      </c>
      <c r="B5" s="385">
        <v>0.3</v>
      </c>
      <c r="C5" s="385"/>
      <c r="D5" s="385"/>
      <c r="E5" s="385"/>
      <c r="F5" s="385"/>
      <c r="G5" s="385"/>
    </row>
    <row r="6" spans="1:7" s="2" customFormat="1" ht="12.75" customHeight="1" hidden="1">
      <c r="A6" s="2" t="s">
        <v>162</v>
      </c>
      <c r="B6" s="385">
        <v>0.3</v>
      </c>
      <c r="C6" s="385"/>
      <c r="D6" s="385"/>
      <c r="E6" s="385"/>
      <c r="F6" s="385"/>
      <c r="G6" s="385"/>
    </row>
    <row r="7" spans="1:7" s="2" customFormat="1" ht="12.75" customHeight="1">
      <c r="A7" s="351" t="s">
        <v>469</v>
      </c>
      <c r="B7" s="351"/>
      <c r="C7" s="351"/>
      <c r="D7" s="351"/>
      <c r="E7" s="351"/>
      <c r="F7" s="351"/>
      <c r="G7" s="351"/>
    </row>
    <row r="8" spans="1:7" s="2" customFormat="1" ht="15.75" customHeight="1">
      <c r="A8" s="352"/>
      <c r="B8" s="352"/>
      <c r="C8" s="352"/>
      <c r="D8" s="352"/>
      <c r="E8" s="352"/>
      <c r="F8" s="352"/>
      <c r="G8" s="352"/>
    </row>
    <row r="9" spans="1:226" s="12" customFormat="1" ht="12.75" customHeight="1">
      <c r="A9" s="341" t="s">
        <v>0</v>
      </c>
      <c r="B9" s="341" t="s">
        <v>112</v>
      </c>
      <c r="C9" s="341" t="s">
        <v>1</v>
      </c>
      <c r="D9" s="341" t="s">
        <v>15</v>
      </c>
      <c r="E9" s="341" t="s">
        <v>2</v>
      </c>
      <c r="F9" s="341" t="s">
        <v>201</v>
      </c>
      <c r="G9" s="3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</row>
    <row r="10" spans="1:226" s="12" customFormat="1" ht="12.75" customHeight="1">
      <c r="A10" s="341"/>
      <c r="B10" s="341"/>
      <c r="C10" s="341"/>
      <c r="D10" s="341"/>
      <c r="E10" s="341"/>
      <c r="F10" s="11" t="s">
        <v>6</v>
      </c>
      <c r="G10" s="11" t="s">
        <v>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</row>
    <row r="11" spans="1:8" ht="12.75" customHeight="1">
      <c r="A11" s="137" t="s">
        <v>453</v>
      </c>
      <c r="B11" s="106"/>
      <c r="C11" s="336" t="s">
        <v>294</v>
      </c>
      <c r="D11" s="337"/>
      <c r="E11" s="337"/>
      <c r="F11" s="337"/>
      <c r="G11" s="338"/>
      <c r="H11" s="5"/>
    </row>
    <row r="12" spans="1:8" ht="25.5">
      <c r="A12" s="35" t="s">
        <v>454</v>
      </c>
      <c r="B12" s="17">
        <v>6042</v>
      </c>
      <c r="C12" s="18" t="s">
        <v>295</v>
      </c>
      <c r="D12" s="16" t="s">
        <v>12</v>
      </c>
      <c r="E12" s="205">
        <v>0.03</v>
      </c>
      <c r="F12" s="143">
        <v>253.04</v>
      </c>
      <c r="G12" s="143">
        <f aca="true" t="shared" si="0" ref="G12:G18">TRUNC(E12*F12,2)</f>
        <v>7.59</v>
      </c>
      <c r="H12" s="5"/>
    </row>
    <row r="13" spans="1:8" ht="12.75">
      <c r="A13" s="35" t="s">
        <v>455</v>
      </c>
      <c r="B13" s="17" t="s">
        <v>296</v>
      </c>
      <c r="C13" s="18" t="s">
        <v>297</v>
      </c>
      <c r="D13" s="16" t="s">
        <v>12</v>
      </c>
      <c r="E13" s="199">
        <v>0.03</v>
      </c>
      <c r="F13" s="143">
        <v>79.52</v>
      </c>
      <c r="G13" s="143">
        <f t="shared" si="0"/>
        <v>2.38</v>
      </c>
      <c r="H13" s="5"/>
    </row>
    <row r="14" spans="1:8" ht="12.75">
      <c r="A14" s="35" t="s">
        <v>456</v>
      </c>
      <c r="B14" s="17" t="s">
        <v>298</v>
      </c>
      <c r="C14" s="18" t="s">
        <v>299</v>
      </c>
      <c r="D14" s="16" t="s">
        <v>11</v>
      </c>
      <c r="E14" s="199">
        <v>0.5</v>
      </c>
      <c r="F14" s="143">
        <v>5.11</v>
      </c>
      <c r="G14" s="143">
        <f t="shared" si="0"/>
        <v>2.55</v>
      </c>
      <c r="H14" s="5"/>
    </row>
    <row r="15" spans="1:8" ht="12.75">
      <c r="A15" s="35" t="s">
        <v>457</v>
      </c>
      <c r="B15" s="127" t="s">
        <v>300</v>
      </c>
      <c r="C15" s="139" t="s">
        <v>301</v>
      </c>
      <c r="D15" s="16" t="s">
        <v>12</v>
      </c>
      <c r="E15" s="205">
        <v>0.03</v>
      </c>
      <c r="F15" s="143">
        <v>24.21</v>
      </c>
      <c r="G15" s="143">
        <f t="shared" si="0"/>
        <v>0.72</v>
      </c>
      <c r="H15" s="5"/>
    </row>
    <row r="16" spans="1:8" ht="25.5">
      <c r="A16" s="35" t="s">
        <v>458</v>
      </c>
      <c r="B16" s="17" t="s">
        <v>375</v>
      </c>
      <c r="C16" s="139" t="s">
        <v>302</v>
      </c>
      <c r="D16" s="16" t="s">
        <v>10</v>
      </c>
      <c r="E16" s="205">
        <v>3.5</v>
      </c>
      <c r="F16" s="143">
        <v>9.57</v>
      </c>
      <c r="G16" s="143">
        <f t="shared" si="0"/>
        <v>33.49</v>
      </c>
      <c r="H16" s="5"/>
    </row>
    <row r="17" spans="1:8" ht="12.75">
      <c r="A17" s="35" t="s">
        <v>459</v>
      </c>
      <c r="B17" s="138" t="s">
        <v>471</v>
      </c>
      <c r="C17" s="139" t="s">
        <v>472</v>
      </c>
      <c r="D17" s="16" t="s">
        <v>127</v>
      </c>
      <c r="E17" s="205">
        <v>0.2</v>
      </c>
      <c r="F17" s="143">
        <v>14.93</v>
      </c>
      <c r="G17" s="143">
        <f t="shared" si="0"/>
        <v>2.98</v>
      </c>
      <c r="H17" s="5"/>
    </row>
    <row r="18" spans="1:8" ht="12.75">
      <c r="A18" s="35" t="s">
        <v>460</v>
      </c>
      <c r="B18" s="138" t="s">
        <v>473</v>
      </c>
      <c r="C18" s="139" t="s">
        <v>474</v>
      </c>
      <c r="D18" s="16" t="s">
        <v>127</v>
      </c>
      <c r="E18" s="205">
        <v>0.2</v>
      </c>
      <c r="F18" s="143">
        <v>12.1</v>
      </c>
      <c r="G18" s="143">
        <f t="shared" si="0"/>
        <v>2.42</v>
      </c>
      <c r="H18" s="5"/>
    </row>
    <row r="19" spans="1:8" ht="12.75">
      <c r="A19" s="335" t="s">
        <v>191</v>
      </c>
      <c r="B19" s="335"/>
      <c r="C19" s="335"/>
      <c r="D19" s="342">
        <f>SUM(G12:G18)</f>
        <v>52.13</v>
      </c>
      <c r="E19" s="342"/>
      <c r="F19" s="342"/>
      <c r="G19" s="342"/>
      <c r="H19" s="5"/>
    </row>
    <row r="20" spans="1:8" ht="12.75">
      <c r="A20" s="357" t="s">
        <v>4</v>
      </c>
      <c r="B20" s="358"/>
      <c r="C20" s="358"/>
      <c r="D20" s="342">
        <f>SUM(D19)</f>
        <v>52.13</v>
      </c>
      <c r="E20" s="342"/>
      <c r="F20" s="342"/>
      <c r="G20" s="342"/>
      <c r="H20" s="5"/>
    </row>
    <row r="21" spans="1:7" ht="12.75">
      <c r="A21" s="102"/>
      <c r="B21" s="102"/>
      <c r="C21" s="12"/>
      <c r="D21" s="102"/>
      <c r="E21" s="103"/>
      <c r="F21" s="104"/>
      <c r="G21" s="105"/>
    </row>
  </sheetData>
  <sheetProtection/>
  <mergeCells count="18">
    <mergeCell ref="C11:G11"/>
    <mergeCell ref="A19:C19"/>
    <mergeCell ref="D19:G19"/>
    <mergeCell ref="A20:C20"/>
    <mergeCell ref="D20:G20"/>
    <mergeCell ref="A7:G8"/>
    <mergeCell ref="A9:A10"/>
    <mergeCell ref="B9:B10"/>
    <mergeCell ref="C9:C10"/>
    <mergeCell ref="D9:D10"/>
    <mergeCell ref="E9:E10"/>
    <mergeCell ref="F9:G9"/>
    <mergeCell ref="A1:G1"/>
    <mergeCell ref="A2:G2"/>
    <mergeCell ref="A3:G3"/>
    <mergeCell ref="A4:G4"/>
    <mergeCell ref="B5:G5"/>
    <mergeCell ref="B6:G6"/>
  </mergeCells>
  <printOptions/>
  <pageMargins left="0.5905511811023623" right="0.3937007874015748" top="1.7716535433070868" bottom="0.7874015748031497" header="0.3937007874015748" footer="0.3937007874015748"/>
  <pageSetup horizontalDpi="600" verticalDpi="600" orientation="portrait" paperSize="9" scale="85" r:id="rId3"/>
  <headerFooter>
    <oddHeader>&amp;L&amp;G&amp;C
&amp;"Arial Narrow,Negrito"&amp;14PREFEITURA DE CARACOL
&amp;12ESTADO DE MATO GROSSO DO SUL</oddHeader>
  </headerFooter>
  <ignoredErrors>
    <ignoredError sqref="B17:B18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workbookViewId="0" topLeftCell="A1">
      <selection activeCell="M22" sqref="M22"/>
    </sheetView>
  </sheetViews>
  <sheetFormatPr defaultColWidth="9.140625" defaultRowHeight="12.75"/>
  <cols>
    <col min="1" max="1" width="16.7109375" style="0" customWidth="1"/>
    <col min="2" max="3" width="7.7109375" style="0" customWidth="1"/>
    <col min="6" max="6" width="8.7109375" style="0" customWidth="1"/>
    <col min="7" max="7" width="7.7109375" style="0" customWidth="1"/>
    <col min="8" max="9" width="8.7109375" style="0" customWidth="1"/>
    <col min="10" max="10" width="7.7109375" style="0" customWidth="1"/>
    <col min="11" max="11" width="10.7109375" style="0" customWidth="1"/>
    <col min="12" max="14" width="9.7109375" style="0" customWidth="1"/>
  </cols>
  <sheetData>
    <row r="1" spans="1:14" ht="12.75" customHeight="1">
      <c r="A1" s="265" t="s">
        <v>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2.75" customHeight="1">
      <c r="A2" s="265" t="s">
        <v>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2.75" customHeight="1">
      <c r="A3" s="265" t="s">
        <v>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12.75" customHeight="1">
      <c r="A4" s="265" t="s">
        <v>104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23" ht="15.75">
      <c r="A5" s="287" t="s">
        <v>88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94"/>
      <c r="P5" s="94"/>
      <c r="Q5" s="94"/>
      <c r="R5" s="94"/>
      <c r="S5" s="94"/>
      <c r="T5" s="94"/>
      <c r="U5" s="94"/>
      <c r="V5" s="94"/>
      <c r="W5" s="94"/>
    </row>
    <row r="6" spans="1:23" ht="15.75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94"/>
      <c r="P6" s="94"/>
      <c r="Q6" s="94"/>
      <c r="R6" s="94"/>
      <c r="S6" s="94"/>
      <c r="T6" s="94"/>
      <c r="U6" s="94"/>
      <c r="V6" s="94"/>
      <c r="W6" s="94"/>
    </row>
    <row r="7" spans="1:23" ht="15.75">
      <c r="A7" s="283" t="s">
        <v>33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95"/>
      <c r="P7" s="95"/>
      <c r="Q7" s="95"/>
      <c r="R7" s="95"/>
      <c r="S7" s="95"/>
      <c r="T7" s="95"/>
      <c r="U7" s="95"/>
      <c r="V7" s="95"/>
      <c r="W7" s="95"/>
    </row>
    <row r="8" spans="1:14" ht="12.75">
      <c r="A8" s="277" t="s">
        <v>56</v>
      </c>
      <c r="B8" s="277" t="s">
        <v>57</v>
      </c>
      <c r="C8" s="277" t="s">
        <v>58</v>
      </c>
      <c r="D8" s="281" t="s">
        <v>82</v>
      </c>
      <c r="E8" s="281" t="s">
        <v>83</v>
      </c>
      <c r="F8" s="282" t="s">
        <v>59</v>
      </c>
      <c r="G8" s="282"/>
      <c r="H8" s="282"/>
      <c r="I8" s="282" t="s">
        <v>60</v>
      </c>
      <c r="J8" s="282"/>
      <c r="K8" s="282"/>
      <c r="L8" s="285" t="s">
        <v>61</v>
      </c>
      <c r="M8" s="285" t="s">
        <v>62</v>
      </c>
      <c r="N8" s="286" t="s">
        <v>63</v>
      </c>
    </row>
    <row r="9" spans="1:14" ht="12.75">
      <c r="A9" s="277"/>
      <c r="B9" s="277"/>
      <c r="C9" s="277"/>
      <c r="D9" s="281"/>
      <c r="E9" s="281"/>
      <c r="F9" s="72" t="s">
        <v>69</v>
      </c>
      <c r="G9" s="72" t="s">
        <v>38</v>
      </c>
      <c r="H9" s="73" t="s">
        <v>39</v>
      </c>
      <c r="I9" s="72" t="s">
        <v>69</v>
      </c>
      <c r="J9" s="72" t="s">
        <v>38</v>
      </c>
      <c r="K9" s="73" t="s">
        <v>39</v>
      </c>
      <c r="L9" s="285"/>
      <c r="M9" s="285"/>
      <c r="N9" s="286"/>
    </row>
    <row r="10" spans="1:14" ht="12.75">
      <c r="A10" s="277"/>
      <c r="B10" s="277"/>
      <c r="C10" s="277"/>
      <c r="D10" s="74" t="s">
        <v>70</v>
      </c>
      <c r="E10" s="74" t="s">
        <v>70</v>
      </c>
      <c r="F10" s="74" t="s">
        <v>70</v>
      </c>
      <c r="G10" s="74" t="s">
        <v>70</v>
      </c>
      <c r="H10" s="74" t="s">
        <v>70</v>
      </c>
      <c r="I10" s="74" t="s">
        <v>70</v>
      </c>
      <c r="J10" s="74" t="s">
        <v>70</v>
      </c>
      <c r="K10" s="74" t="s">
        <v>70</v>
      </c>
      <c r="L10" s="72" t="s">
        <v>71</v>
      </c>
      <c r="M10" s="72" t="s">
        <v>71</v>
      </c>
      <c r="N10" s="72" t="s">
        <v>71</v>
      </c>
    </row>
    <row r="11" spans="1:14" ht="12.75">
      <c r="A11" s="76" t="s">
        <v>84</v>
      </c>
      <c r="B11" s="80"/>
      <c r="C11" s="80"/>
      <c r="D11" s="81"/>
      <c r="E11" s="81"/>
      <c r="F11" s="82"/>
      <c r="G11" s="82"/>
      <c r="H11" s="83"/>
      <c r="I11" s="82"/>
      <c r="J11" s="82"/>
      <c r="K11" s="83"/>
      <c r="L11" s="78"/>
      <c r="M11" s="78"/>
      <c r="N11" s="78"/>
    </row>
    <row r="12" spans="1:14" ht="12.75">
      <c r="A12" s="77" t="s">
        <v>85</v>
      </c>
      <c r="B12" s="84">
        <v>0</v>
      </c>
      <c r="C12" s="85">
        <v>0.4</v>
      </c>
      <c r="D12" s="86">
        <v>1.2</v>
      </c>
      <c r="E12" s="86">
        <v>1.2</v>
      </c>
      <c r="F12" s="78">
        <v>0.8</v>
      </c>
      <c r="G12" s="78">
        <v>0.8</v>
      </c>
      <c r="H12" s="87">
        <v>0.8</v>
      </c>
      <c r="I12" s="78">
        <v>0.8</v>
      </c>
      <c r="J12" s="78">
        <v>0.8</v>
      </c>
      <c r="K12" s="87">
        <v>0.8</v>
      </c>
      <c r="L12" s="78">
        <f>ROUND(D12*H12,2)</f>
        <v>0.96</v>
      </c>
      <c r="M12" s="78">
        <f>ROUND(E12*K12,2)</f>
        <v>0.96</v>
      </c>
      <c r="N12" s="78">
        <f>ROUND((L12+M12)/2,2)</f>
        <v>0.96</v>
      </c>
    </row>
    <row r="13" spans="1:14" ht="12.75">
      <c r="A13" s="77" t="s">
        <v>86</v>
      </c>
      <c r="B13" s="84">
        <v>0</v>
      </c>
      <c r="C13" s="85">
        <v>0.4</v>
      </c>
      <c r="D13" s="86">
        <v>1.2</v>
      </c>
      <c r="E13" s="86">
        <v>1.2</v>
      </c>
      <c r="F13" s="78">
        <v>0.8</v>
      </c>
      <c r="G13" s="78">
        <v>0.8</v>
      </c>
      <c r="H13" s="87">
        <v>0.8</v>
      </c>
      <c r="I13" s="78">
        <v>0.8</v>
      </c>
      <c r="J13" s="78">
        <v>0.8</v>
      </c>
      <c r="K13" s="87">
        <v>0.8</v>
      </c>
      <c r="L13" s="78">
        <f>ROUND(D13*H13,2)</f>
        <v>0.96</v>
      </c>
      <c r="M13" s="78">
        <f>ROUND(E13*K13,2)</f>
        <v>0.96</v>
      </c>
      <c r="N13" s="78">
        <f>ROUND((L13+M13)/2,2)</f>
        <v>0.96</v>
      </c>
    </row>
    <row r="14" spans="1:23" ht="12.7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ht="12.75">
      <c r="A15" s="284" t="s">
        <v>42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ht="12.75" customHeight="1">
      <c r="A16" s="277" t="s">
        <v>56</v>
      </c>
      <c r="B16" s="277" t="s">
        <v>57</v>
      </c>
      <c r="C16" s="277" t="s">
        <v>58</v>
      </c>
      <c r="D16" s="275" t="s">
        <v>65</v>
      </c>
      <c r="E16" s="275" t="s">
        <v>66</v>
      </c>
      <c r="F16" s="275" t="s">
        <v>68</v>
      </c>
      <c r="G16" s="275" t="s">
        <v>67</v>
      </c>
      <c r="H16" s="275" t="s">
        <v>99</v>
      </c>
      <c r="I16" s="275" t="s">
        <v>98</v>
      </c>
      <c r="J16" s="275" t="s">
        <v>64</v>
      </c>
      <c r="K16" s="275" t="s">
        <v>100</v>
      </c>
      <c r="L16" s="275" t="s">
        <v>101</v>
      </c>
      <c r="M16" s="273" t="s">
        <v>90</v>
      </c>
      <c r="P16" s="90"/>
      <c r="Q16" s="90"/>
      <c r="R16" s="90"/>
      <c r="S16" s="90"/>
      <c r="T16" s="90"/>
      <c r="U16" s="90"/>
      <c r="V16" s="90"/>
      <c r="W16" s="90"/>
    </row>
    <row r="17" spans="1:23" ht="12.75">
      <c r="A17" s="277"/>
      <c r="B17" s="277"/>
      <c r="C17" s="277"/>
      <c r="D17" s="276"/>
      <c r="E17" s="276"/>
      <c r="F17" s="276"/>
      <c r="G17" s="276"/>
      <c r="H17" s="276"/>
      <c r="I17" s="276"/>
      <c r="J17" s="276"/>
      <c r="K17" s="276"/>
      <c r="L17" s="276"/>
      <c r="M17" s="274"/>
      <c r="P17" s="90"/>
      <c r="Q17" s="90"/>
      <c r="R17" s="90"/>
      <c r="S17" s="90"/>
      <c r="T17" s="90"/>
      <c r="U17" s="90"/>
      <c r="V17" s="90"/>
      <c r="W17" s="90"/>
    </row>
    <row r="18" spans="1:23" ht="12.75">
      <c r="A18" s="277"/>
      <c r="B18" s="277"/>
      <c r="C18" s="277"/>
      <c r="D18" s="75" t="s">
        <v>72</v>
      </c>
      <c r="E18" s="75" t="s">
        <v>72</v>
      </c>
      <c r="F18" s="75" t="s">
        <v>72</v>
      </c>
      <c r="G18" s="75" t="s">
        <v>71</v>
      </c>
      <c r="H18" s="75" t="s">
        <v>72</v>
      </c>
      <c r="I18" s="75" t="s">
        <v>72</v>
      </c>
      <c r="J18" s="75" t="s">
        <v>72</v>
      </c>
      <c r="K18" s="75" t="s">
        <v>73</v>
      </c>
      <c r="L18" s="75" t="s">
        <v>71</v>
      </c>
      <c r="M18" s="96" t="s">
        <v>70</v>
      </c>
      <c r="P18" s="90"/>
      <c r="Q18" s="90"/>
      <c r="R18" s="90"/>
      <c r="S18" s="90"/>
      <c r="T18" s="90"/>
      <c r="U18" s="90"/>
      <c r="V18" s="90"/>
      <c r="W18" s="90"/>
    </row>
    <row r="19" spans="1:23" ht="12.75">
      <c r="A19" s="76" t="s">
        <v>84</v>
      </c>
      <c r="B19" s="80"/>
      <c r="C19" s="80"/>
      <c r="D19" s="79"/>
      <c r="E19" s="79"/>
      <c r="F19" s="79"/>
      <c r="G19" s="79"/>
      <c r="H19" s="79"/>
      <c r="I19" s="79"/>
      <c r="J19" s="79"/>
      <c r="K19" s="79"/>
      <c r="L19" s="79"/>
      <c r="M19" s="97"/>
      <c r="P19" s="90"/>
      <c r="Q19" s="90"/>
      <c r="R19" s="90"/>
      <c r="S19" s="90"/>
      <c r="T19" s="90"/>
      <c r="U19" s="90"/>
      <c r="V19" s="90"/>
      <c r="W19" s="90"/>
    </row>
    <row r="20" spans="1:23" ht="12.75">
      <c r="A20" s="77" t="s">
        <v>85</v>
      </c>
      <c r="B20" s="84">
        <f>B12</f>
        <v>0</v>
      </c>
      <c r="C20" s="85">
        <v>0.4</v>
      </c>
      <c r="D20" s="79">
        <f>ROUND(B12*N12,2)</f>
        <v>0</v>
      </c>
      <c r="E20" s="79">
        <f>ROUND(D20*0.1,2)</f>
        <v>0</v>
      </c>
      <c r="F20" s="79">
        <f>ROUND(J20*1.3,2)</f>
        <v>0</v>
      </c>
      <c r="G20" s="79">
        <f>ROUND(B12*K12,2)</f>
        <v>0</v>
      </c>
      <c r="H20" s="79">
        <v>0</v>
      </c>
      <c r="I20" s="79">
        <f>ROUND(D20-J20-H20,2)</f>
        <v>0</v>
      </c>
      <c r="J20" s="79">
        <f>ROUND(B12*C12,2)</f>
        <v>0</v>
      </c>
      <c r="K20" s="79">
        <f>J20*$C$23*$H$23</f>
        <v>0</v>
      </c>
      <c r="L20" s="79">
        <f>ROUND((2*0.5+2*K12+0.2)*B12,2)</f>
        <v>0</v>
      </c>
      <c r="M20" s="97">
        <v>0</v>
      </c>
      <c r="P20" s="90"/>
      <c r="Q20" s="90"/>
      <c r="R20" s="90"/>
      <c r="S20" s="90"/>
      <c r="T20" s="90"/>
      <c r="U20" s="90"/>
      <c r="V20" s="90"/>
      <c r="W20" s="90"/>
    </row>
    <row r="21" spans="1:23" ht="12.75">
      <c r="A21" s="77" t="s">
        <v>86</v>
      </c>
      <c r="B21" s="84">
        <f>B13</f>
        <v>0</v>
      </c>
      <c r="C21" s="85">
        <v>0.4</v>
      </c>
      <c r="D21" s="79">
        <f>ROUND(B13*N13,2)</f>
        <v>0</v>
      </c>
      <c r="E21" s="79">
        <f>ROUND(D21*0.1,2)</f>
        <v>0</v>
      </c>
      <c r="F21" s="79">
        <f>ROUND(J21*1.3,2)</f>
        <v>0</v>
      </c>
      <c r="G21" s="79">
        <f>ROUND(B13*K13,2)</f>
        <v>0</v>
      </c>
      <c r="H21" s="79">
        <v>0</v>
      </c>
      <c r="I21" s="79">
        <f>ROUND(D21-J21-H21,2)</f>
        <v>0</v>
      </c>
      <c r="J21" s="79">
        <f>ROUND(B13*C13,2)</f>
        <v>0</v>
      </c>
      <c r="K21" s="79">
        <f>J21*$C$23*$H$23</f>
        <v>0</v>
      </c>
      <c r="L21" s="79">
        <f>ROUND((2*0.5+2*K13+0.2)*B13,2)</f>
        <v>0</v>
      </c>
      <c r="M21" s="97">
        <v>0</v>
      </c>
      <c r="P21" s="90"/>
      <c r="Q21" s="90"/>
      <c r="R21" s="90"/>
      <c r="S21" s="90"/>
      <c r="T21" s="90"/>
      <c r="U21" s="90"/>
      <c r="V21" s="90"/>
      <c r="W21" s="90"/>
    </row>
    <row r="22" spans="1:23" ht="12.75">
      <c r="A22" s="278" t="s">
        <v>7</v>
      </c>
      <c r="B22" s="279"/>
      <c r="C22" s="280"/>
      <c r="D22" s="88">
        <f aca="true" t="shared" si="0" ref="D22:M22">ROUND(SUM(D19:D21),1)</f>
        <v>0</v>
      </c>
      <c r="E22" s="88">
        <f t="shared" si="0"/>
        <v>0</v>
      </c>
      <c r="F22" s="88">
        <f t="shared" si="0"/>
        <v>0</v>
      </c>
      <c r="G22" s="88">
        <f t="shared" si="0"/>
        <v>0</v>
      </c>
      <c r="H22" s="88">
        <f t="shared" si="0"/>
        <v>0</v>
      </c>
      <c r="I22" s="88">
        <f t="shared" si="0"/>
        <v>0</v>
      </c>
      <c r="J22" s="88">
        <f t="shared" si="0"/>
        <v>0</v>
      </c>
      <c r="K22" s="88">
        <f t="shared" si="0"/>
        <v>0</v>
      </c>
      <c r="L22" s="88">
        <f t="shared" si="0"/>
        <v>0</v>
      </c>
      <c r="M22" s="88">
        <f t="shared" si="0"/>
        <v>0</v>
      </c>
      <c r="P22" s="90"/>
      <c r="Q22" s="90"/>
      <c r="R22" s="90"/>
      <c r="S22" s="90"/>
      <c r="T22" s="90"/>
      <c r="U22" s="90"/>
      <c r="V22" s="90"/>
      <c r="W22" s="90"/>
    </row>
    <row r="23" spans="1:23" ht="12.75">
      <c r="A23" s="272" t="s">
        <v>50</v>
      </c>
      <c r="B23" s="272"/>
      <c r="C23" s="92">
        <v>1.5</v>
      </c>
      <c r="D23" s="93" t="s">
        <v>51</v>
      </c>
      <c r="E23" s="91"/>
      <c r="F23" s="272" t="s">
        <v>87</v>
      </c>
      <c r="G23" s="272"/>
      <c r="H23" s="92">
        <v>140</v>
      </c>
      <c r="I23" s="90" t="s">
        <v>49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ht="12.75">
      <c r="A24" s="91"/>
      <c r="B24" s="91"/>
      <c r="C24" s="91"/>
      <c r="D24" s="91"/>
      <c r="E24" s="91"/>
      <c r="F24" s="91"/>
      <c r="G24" s="91"/>
      <c r="H24" s="91"/>
      <c r="I24" s="91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ht="12.75">
      <c r="A25" s="89" t="s">
        <v>74</v>
      </c>
      <c r="B25" s="89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12.75">
      <c r="A26" s="89" t="s">
        <v>75</v>
      </c>
      <c r="B26" s="89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ht="12.75">
      <c r="A27" s="89" t="s">
        <v>76</v>
      </c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ht="12.75">
      <c r="A28" s="89" t="s">
        <v>77</v>
      </c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ht="12.75">
      <c r="A29" s="89" t="s">
        <v>78</v>
      </c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ht="12.75">
      <c r="A30" s="89" t="s">
        <v>79</v>
      </c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>
      <c r="A31" s="89" t="s">
        <v>80</v>
      </c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12.75">
      <c r="A32" s="89" t="s">
        <v>81</v>
      </c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</sheetData>
  <sheetProtection/>
  <mergeCells count="33">
    <mergeCell ref="A7:N7"/>
    <mergeCell ref="A15:L15"/>
    <mergeCell ref="A1:N1"/>
    <mergeCell ref="A2:N2"/>
    <mergeCell ref="A3:N3"/>
    <mergeCell ref="A4:N4"/>
    <mergeCell ref="M8:M9"/>
    <mergeCell ref="N8:N9"/>
    <mergeCell ref="L8:L9"/>
    <mergeCell ref="A5:N6"/>
    <mergeCell ref="D16:D17"/>
    <mergeCell ref="E16:E17"/>
    <mergeCell ref="F23:G23"/>
    <mergeCell ref="G16:G17"/>
    <mergeCell ref="H16:H17"/>
    <mergeCell ref="J16:J17"/>
    <mergeCell ref="E8:E9"/>
    <mergeCell ref="F8:H8"/>
    <mergeCell ref="I8:K8"/>
    <mergeCell ref="A8:A10"/>
    <mergeCell ref="B8:B10"/>
    <mergeCell ref="C8:C10"/>
    <mergeCell ref="D8:D9"/>
    <mergeCell ref="A23:B23"/>
    <mergeCell ref="M16:M17"/>
    <mergeCell ref="I16:I17"/>
    <mergeCell ref="A16:A18"/>
    <mergeCell ref="F16:F17"/>
    <mergeCell ref="A22:C22"/>
    <mergeCell ref="K16:K17"/>
    <mergeCell ref="L16:L17"/>
    <mergeCell ref="B16:B18"/>
    <mergeCell ref="C16:C18"/>
  </mergeCells>
  <conditionalFormatting sqref="E11:F11 F8:F9">
    <cfRule type="cellIs" priority="1" dxfId="0" operator="lessThan" stopIfTrue="1">
      <formula>0</formula>
    </cfRule>
  </conditionalFormatting>
  <dataValidations count="1">
    <dataValidation allowBlank="1" showInputMessage="1" showErrorMessage="1" prompt="Se for perfil área&#10;Se for planilha fórmula" sqref="C16 C8"/>
  </dataValidations>
  <printOptions/>
  <pageMargins left="0.5905511811023623" right="0.1968503937007874" top="1.968503937007874" bottom="0.7874015748031497" header="0.31496062992125984" footer="0.31496062992125984"/>
  <pageSetup horizontalDpi="600" verticalDpi="600" orientation="portrait" scale="75" r:id="rId2"/>
  <headerFooter>
    <oddHeader>&amp;C&amp;G
PREFEITURA MUNICIPAL DE NIOAQUE - MS.             
Av. Gal Klinger, 405 Centro             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9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1" max="6" width="17.7109375" style="211" customWidth="1"/>
    <col min="7" max="7" width="15.7109375" style="211" hidden="1" customWidth="1"/>
    <col min="8" max="8" width="11.7109375" style="211" customWidth="1"/>
    <col min="9" max="16384" width="9.140625" style="211" customWidth="1"/>
  </cols>
  <sheetData>
    <row r="1" spans="1:8" ht="12.75">
      <c r="A1" s="293" t="s">
        <v>102</v>
      </c>
      <c r="B1" s="293"/>
      <c r="C1" s="293"/>
      <c r="D1" s="293"/>
      <c r="E1" s="293"/>
      <c r="F1" s="293"/>
      <c r="G1" s="293"/>
      <c r="H1" s="207"/>
    </row>
    <row r="2" spans="1:8" ht="25.5" customHeight="1">
      <c r="A2" s="295" t="s">
        <v>485</v>
      </c>
      <c r="B2" s="295"/>
      <c r="C2" s="295"/>
      <c r="D2" s="295"/>
      <c r="E2" s="295"/>
      <c r="F2" s="295"/>
      <c r="G2" s="295"/>
      <c r="H2" s="208"/>
    </row>
    <row r="3" spans="1:8" ht="12.75">
      <c r="A3" s="293" t="s">
        <v>476</v>
      </c>
      <c r="B3" s="293"/>
      <c r="C3" s="293"/>
      <c r="D3" s="293"/>
      <c r="E3" s="293"/>
      <c r="F3" s="293"/>
      <c r="G3" s="293"/>
      <c r="H3" s="207"/>
    </row>
    <row r="4" spans="1:8" ht="12.75">
      <c r="A4" s="293" t="s">
        <v>103</v>
      </c>
      <c r="B4" s="293"/>
      <c r="C4" s="296" t="e">
        <f>#REF!</f>
        <v>#REF!</v>
      </c>
      <c r="D4" s="297"/>
      <c r="E4" s="292" t="s">
        <v>11</v>
      </c>
      <c r="F4" s="292"/>
      <c r="G4" s="292"/>
      <c r="H4" s="209"/>
    </row>
    <row r="5" spans="1:8" ht="12.75">
      <c r="A5" s="293" t="s">
        <v>534</v>
      </c>
      <c r="B5" s="293"/>
      <c r="C5" s="293"/>
      <c r="D5" s="293"/>
      <c r="E5" s="293"/>
      <c r="F5" s="293"/>
      <c r="G5" s="293"/>
      <c r="H5" s="207"/>
    </row>
    <row r="6" spans="1:8" ht="13.5" customHeight="1">
      <c r="A6" s="294" t="s">
        <v>518</v>
      </c>
      <c r="B6" s="294"/>
      <c r="C6" s="294"/>
      <c r="D6" s="294"/>
      <c r="E6" s="294"/>
      <c r="F6" s="294"/>
      <c r="G6" s="294"/>
      <c r="H6" s="206"/>
    </row>
    <row r="7" spans="1:8" ht="13.5" customHeight="1">
      <c r="A7" s="294"/>
      <c r="B7" s="294"/>
      <c r="C7" s="294"/>
      <c r="D7" s="294"/>
      <c r="E7" s="294"/>
      <c r="F7" s="294"/>
      <c r="G7" s="294"/>
      <c r="H7" s="206"/>
    </row>
    <row r="8" spans="1:7" ht="12.75" customHeight="1">
      <c r="A8" s="291" t="s">
        <v>501</v>
      </c>
      <c r="B8" s="291"/>
      <c r="C8" s="291"/>
      <c r="D8" s="291"/>
      <c r="E8" s="291"/>
      <c r="F8" s="291"/>
      <c r="G8" s="291"/>
    </row>
    <row r="9" spans="1:7" ht="12.75">
      <c r="A9" s="291" t="s">
        <v>500</v>
      </c>
      <c r="B9" s="291" t="s">
        <v>503</v>
      </c>
      <c r="C9" s="291"/>
      <c r="D9" s="291" t="s">
        <v>502</v>
      </c>
      <c r="E9" s="291" t="s">
        <v>499</v>
      </c>
      <c r="F9" s="291"/>
      <c r="G9" s="291" t="s">
        <v>506</v>
      </c>
    </row>
    <row r="10" spans="1:7" ht="12.75">
      <c r="A10" s="291"/>
      <c r="B10" s="212" t="s">
        <v>504</v>
      </c>
      <c r="C10" s="212" t="s">
        <v>505</v>
      </c>
      <c r="D10" s="291"/>
      <c r="E10" s="212" t="s">
        <v>504</v>
      </c>
      <c r="F10" s="212" t="s">
        <v>505</v>
      </c>
      <c r="G10" s="291"/>
    </row>
    <row r="11" spans="1:7" ht="12.75">
      <c r="A11" s="291"/>
      <c r="B11" s="212" t="s">
        <v>11</v>
      </c>
      <c r="C11" s="212" t="s">
        <v>11</v>
      </c>
      <c r="D11" s="212" t="s">
        <v>10</v>
      </c>
      <c r="E11" s="212" t="s">
        <v>12</v>
      </c>
      <c r="F11" s="212" t="s">
        <v>10</v>
      </c>
      <c r="G11" s="212" t="s">
        <v>10</v>
      </c>
    </row>
    <row r="12" spans="1:7" ht="12.75" customHeight="1">
      <c r="A12" s="213">
        <v>0</v>
      </c>
      <c r="B12" s="34">
        <v>0</v>
      </c>
      <c r="C12" s="34">
        <v>0</v>
      </c>
      <c r="D12" s="34">
        <v>0</v>
      </c>
      <c r="E12" s="34">
        <f>TRUNC(B12*D12,2)</f>
        <v>0</v>
      </c>
      <c r="F12" s="34">
        <f>TRUNC(C12*D12,2)</f>
        <v>0</v>
      </c>
      <c r="G12" s="210">
        <v>0</v>
      </c>
    </row>
    <row r="13" spans="1:7" ht="12.75" customHeight="1">
      <c r="A13" s="213">
        <v>1</v>
      </c>
      <c r="B13" s="34">
        <v>0</v>
      </c>
      <c r="C13" s="34">
        <v>2.05</v>
      </c>
      <c r="D13" s="34">
        <v>20</v>
      </c>
      <c r="E13" s="34">
        <f>TRUNC(B13*D13,2)</f>
        <v>0</v>
      </c>
      <c r="F13" s="34">
        <f>TRUNC(C13*D13,2)</f>
        <v>41</v>
      </c>
      <c r="G13" s="210">
        <f>E13-F13+G12</f>
        <v>-41</v>
      </c>
    </row>
    <row r="14" spans="1:7" ht="12.75" customHeight="1">
      <c r="A14" s="213">
        <v>2</v>
      </c>
      <c r="B14" s="34">
        <v>0</v>
      </c>
      <c r="C14" s="34">
        <v>2.05</v>
      </c>
      <c r="D14" s="34">
        <v>21</v>
      </c>
      <c r="E14" s="34">
        <f>TRUNC(B14*D14,2)</f>
        <v>0</v>
      </c>
      <c r="F14" s="34">
        <f>TRUNC(C14*D14,2)</f>
        <v>43.05</v>
      </c>
      <c r="G14" s="210">
        <f>E14-F14+G13</f>
        <v>-84.05</v>
      </c>
    </row>
    <row r="15" spans="1:7" ht="12.75" customHeight="1">
      <c r="A15" s="289" t="s">
        <v>507</v>
      </c>
      <c r="B15" s="289"/>
      <c r="C15" s="289"/>
      <c r="D15" s="289"/>
      <c r="E15" s="289"/>
      <c r="F15" s="289"/>
      <c r="G15" s="289"/>
    </row>
    <row r="16" spans="1:7" ht="12.75" customHeight="1">
      <c r="A16" s="213">
        <v>0</v>
      </c>
      <c r="B16" s="34">
        <v>0</v>
      </c>
      <c r="C16" s="34">
        <v>0</v>
      </c>
      <c r="D16" s="34">
        <v>0</v>
      </c>
      <c r="E16" s="34">
        <f>TRUNC(B16*D16,2)</f>
        <v>0</v>
      </c>
      <c r="F16" s="34">
        <f>TRUNC(C16*D16,2)</f>
        <v>0</v>
      </c>
      <c r="G16" s="210">
        <v>0</v>
      </c>
    </row>
    <row r="17" spans="1:7" ht="12.75" customHeight="1">
      <c r="A17" s="213">
        <v>1</v>
      </c>
      <c r="B17" s="34">
        <v>0</v>
      </c>
      <c r="C17" s="34">
        <v>1.49</v>
      </c>
      <c r="D17" s="34">
        <v>20</v>
      </c>
      <c r="E17" s="34">
        <f>TRUNC(B17*D17,2)</f>
        <v>0</v>
      </c>
      <c r="F17" s="34">
        <f>TRUNC(C17*D17,2)</f>
        <v>29.8</v>
      </c>
      <c r="G17" s="210">
        <f>E17-F17+G16</f>
        <v>-29.8</v>
      </c>
    </row>
    <row r="18" spans="1:7" ht="12.75" customHeight="1">
      <c r="A18" s="213">
        <v>2</v>
      </c>
      <c r="B18" s="34">
        <v>0</v>
      </c>
      <c r="C18" s="34">
        <v>1.49</v>
      </c>
      <c r="D18" s="34">
        <v>16.15</v>
      </c>
      <c r="E18" s="34">
        <f>TRUNC(B18*D18,2)</f>
        <v>0</v>
      </c>
      <c r="F18" s="34">
        <f>TRUNC(C18*D18,2)</f>
        <v>24.06</v>
      </c>
      <c r="G18" s="210">
        <f>E18-F18+G17</f>
        <v>-53.86</v>
      </c>
    </row>
    <row r="19" spans="1:7" ht="12.75" customHeight="1">
      <c r="A19" s="289" t="s">
        <v>508</v>
      </c>
      <c r="B19" s="289"/>
      <c r="C19" s="289"/>
      <c r="D19" s="289"/>
      <c r="E19" s="289"/>
      <c r="F19" s="289"/>
      <c r="G19" s="289"/>
    </row>
    <row r="20" spans="1:7" ht="12.75" customHeight="1">
      <c r="A20" s="213">
        <v>0</v>
      </c>
      <c r="B20" s="34">
        <v>0</v>
      </c>
      <c r="C20" s="34">
        <v>0</v>
      </c>
      <c r="D20" s="34">
        <v>0</v>
      </c>
      <c r="E20" s="34">
        <f>TRUNC(B20*D20,2)</f>
        <v>0</v>
      </c>
      <c r="F20" s="34">
        <f>TRUNC(C20*D20,2)</f>
        <v>0</v>
      </c>
      <c r="G20" s="210">
        <v>0</v>
      </c>
    </row>
    <row r="21" spans="1:7" ht="12.75" customHeight="1">
      <c r="A21" s="213">
        <v>1</v>
      </c>
      <c r="B21" s="34">
        <v>1.25</v>
      </c>
      <c r="C21" s="34">
        <v>0</v>
      </c>
      <c r="D21" s="34">
        <v>20</v>
      </c>
      <c r="E21" s="34">
        <f>TRUNC(B21*D21,2)</f>
        <v>25</v>
      </c>
      <c r="F21" s="34">
        <f>TRUNC(C21*D21,2)</f>
        <v>0</v>
      </c>
      <c r="G21" s="210">
        <f>E21-F21+G20</f>
        <v>25</v>
      </c>
    </row>
    <row r="22" spans="1:7" ht="12.75" customHeight="1">
      <c r="A22" s="213" t="s">
        <v>512</v>
      </c>
      <c r="B22" s="34">
        <v>1.25</v>
      </c>
      <c r="C22" s="34">
        <v>0</v>
      </c>
      <c r="D22" s="34">
        <v>10</v>
      </c>
      <c r="E22" s="34">
        <f>TRUNC(B22*D22,2)</f>
        <v>12.5</v>
      </c>
      <c r="F22" s="34">
        <f>TRUNC(C22*D22,2)</f>
        <v>0</v>
      </c>
      <c r="G22" s="210">
        <f>E22-F22+G21</f>
        <v>37.5</v>
      </c>
    </row>
    <row r="23" spans="1:7" ht="12.75" customHeight="1">
      <c r="A23" s="213">
        <v>2</v>
      </c>
      <c r="B23" s="34">
        <v>0</v>
      </c>
      <c r="C23" s="34">
        <v>0.95</v>
      </c>
      <c r="D23" s="34">
        <v>10</v>
      </c>
      <c r="E23" s="34">
        <f>TRUNC(B23*(D23/2),2)</f>
        <v>0</v>
      </c>
      <c r="F23" s="34">
        <f>TRUNC(C23*(D23/2),2)</f>
        <v>4.75</v>
      </c>
      <c r="G23" s="210">
        <f>E23-F23+G22</f>
        <v>32.75</v>
      </c>
    </row>
    <row r="24" spans="1:7" ht="12.75">
      <c r="A24" s="213">
        <v>3</v>
      </c>
      <c r="B24" s="34">
        <v>0</v>
      </c>
      <c r="C24" s="34">
        <v>3.11</v>
      </c>
      <c r="D24" s="34">
        <v>20</v>
      </c>
      <c r="E24" s="34">
        <f aca="true" t="shared" si="0" ref="E24:E35">TRUNC(B24*D24,2)</f>
        <v>0</v>
      </c>
      <c r="F24" s="34">
        <f aca="true" t="shared" si="1" ref="F24:F35">TRUNC(C24*D24,2)</f>
        <v>62.2</v>
      </c>
      <c r="G24" s="210">
        <f>E24-F24+G23</f>
        <v>-29.45</v>
      </c>
    </row>
    <row r="25" spans="1:7" ht="12.75">
      <c r="A25" s="213">
        <v>4</v>
      </c>
      <c r="B25" s="34">
        <v>0</v>
      </c>
      <c r="C25" s="34">
        <v>0.25</v>
      </c>
      <c r="D25" s="34">
        <v>20</v>
      </c>
      <c r="E25" s="34">
        <f t="shared" si="0"/>
        <v>0</v>
      </c>
      <c r="F25" s="34">
        <f t="shared" si="1"/>
        <v>5</v>
      </c>
      <c r="G25" s="210">
        <f>E25-F25+G24</f>
        <v>-34.45</v>
      </c>
    </row>
    <row r="26" spans="1:7" ht="12.75">
      <c r="A26" s="289" t="s">
        <v>509</v>
      </c>
      <c r="B26" s="289"/>
      <c r="C26" s="289"/>
      <c r="D26" s="289"/>
      <c r="E26" s="289"/>
      <c r="F26" s="289"/>
      <c r="G26" s="289"/>
    </row>
    <row r="27" spans="1:7" ht="12.75">
      <c r="A27" s="213">
        <v>0</v>
      </c>
      <c r="B27" s="34">
        <v>0</v>
      </c>
      <c r="C27" s="34">
        <v>0</v>
      </c>
      <c r="D27" s="34">
        <v>0</v>
      </c>
      <c r="E27" s="34">
        <f t="shared" si="0"/>
        <v>0</v>
      </c>
      <c r="F27" s="34">
        <f t="shared" si="1"/>
        <v>0</v>
      </c>
      <c r="G27" s="210">
        <v>0</v>
      </c>
    </row>
    <row r="28" spans="1:7" ht="12.75" customHeight="1">
      <c r="A28" s="213">
        <v>1</v>
      </c>
      <c r="B28" s="34">
        <v>0</v>
      </c>
      <c r="C28" s="34">
        <v>1.1</v>
      </c>
      <c r="D28" s="34">
        <v>25</v>
      </c>
      <c r="E28" s="34">
        <f t="shared" si="0"/>
        <v>0</v>
      </c>
      <c r="F28" s="34">
        <f t="shared" si="1"/>
        <v>27.5</v>
      </c>
      <c r="G28" s="210">
        <f>E28-F28+G27</f>
        <v>-27.5</v>
      </c>
    </row>
    <row r="29" spans="1:7" ht="12.75" customHeight="1">
      <c r="A29" s="213">
        <v>2</v>
      </c>
      <c r="B29" s="34">
        <v>0</v>
      </c>
      <c r="C29" s="34">
        <v>1.1</v>
      </c>
      <c r="D29" s="34">
        <v>25</v>
      </c>
      <c r="E29" s="34">
        <f t="shared" si="0"/>
        <v>0</v>
      </c>
      <c r="F29" s="34">
        <f t="shared" si="1"/>
        <v>27.5</v>
      </c>
      <c r="G29" s="210">
        <f aca="true" t="shared" si="2" ref="G29:G35">E29-F29+G28</f>
        <v>-55</v>
      </c>
    </row>
    <row r="30" spans="1:7" ht="12.75" customHeight="1">
      <c r="A30" s="213">
        <v>3</v>
      </c>
      <c r="B30" s="34">
        <v>0</v>
      </c>
      <c r="C30" s="34">
        <v>0.2</v>
      </c>
      <c r="D30" s="34">
        <v>16</v>
      </c>
      <c r="E30" s="34">
        <f t="shared" si="0"/>
        <v>0</v>
      </c>
      <c r="F30" s="34">
        <f t="shared" si="1"/>
        <v>3.2</v>
      </c>
      <c r="G30" s="210">
        <f t="shared" si="2"/>
        <v>-58.2</v>
      </c>
    </row>
    <row r="31" spans="1:7" ht="12.75" customHeight="1">
      <c r="A31" s="213" t="s">
        <v>511</v>
      </c>
      <c r="B31" s="34">
        <v>0</v>
      </c>
      <c r="C31" s="34">
        <v>0.2</v>
      </c>
      <c r="D31" s="34">
        <v>15.15</v>
      </c>
      <c r="E31" s="34">
        <f t="shared" si="0"/>
        <v>0</v>
      </c>
      <c r="F31" s="34">
        <f t="shared" si="1"/>
        <v>3.03</v>
      </c>
      <c r="G31" s="210">
        <f t="shared" si="2"/>
        <v>-61.23</v>
      </c>
    </row>
    <row r="32" spans="1:8" ht="12.75" customHeight="1">
      <c r="A32" s="214">
        <v>4</v>
      </c>
      <c r="B32" s="34">
        <v>0.03</v>
      </c>
      <c r="C32" s="34">
        <v>0</v>
      </c>
      <c r="D32" s="34">
        <v>4.85</v>
      </c>
      <c r="E32" s="34">
        <f t="shared" si="0"/>
        <v>0.14</v>
      </c>
      <c r="F32" s="34">
        <f t="shared" si="1"/>
        <v>0</v>
      </c>
      <c r="G32" s="210">
        <f t="shared" si="2"/>
        <v>-61.09</v>
      </c>
      <c r="H32" s="197"/>
    </row>
    <row r="33" spans="1:7" ht="12.75">
      <c r="A33" s="214">
        <v>5</v>
      </c>
      <c r="B33" s="210">
        <v>0.03</v>
      </c>
      <c r="C33" s="210">
        <v>0</v>
      </c>
      <c r="D33" s="210">
        <v>20</v>
      </c>
      <c r="E33" s="210">
        <f t="shared" si="0"/>
        <v>0.6</v>
      </c>
      <c r="F33" s="210">
        <f t="shared" si="1"/>
        <v>0</v>
      </c>
      <c r="G33" s="210">
        <f t="shared" si="2"/>
        <v>-60.49</v>
      </c>
    </row>
    <row r="34" spans="1:7" ht="12.75">
      <c r="A34" s="214">
        <v>6</v>
      </c>
      <c r="B34" s="210">
        <v>0.37</v>
      </c>
      <c r="C34" s="210">
        <v>0</v>
      </c>
      <c r="D34" s="210">
        <v>20</v>
      </c>
      <c r="E34" s="210">
        <f t="shared" si="0"/>
        <v>7.4</v>
      </c>
      <c r="F34" s="210">
        <f t="shared" si="1"/>
        <v>0</v>
      </c>
      <c r="G34" s="210">
        <f t="shared" si="2"/>
        <v>-53.09</v>
      </c>
    </row>
    <row r="35" spans="1:7" ht="12.75">
      <c r="A35" s="214">
        <v>7</v>
      </c>
      <c r="B35" s="210">
        <v>0.37</v>
      </c>
      <c r="C35" s="210">
        <v>0</v>
      </c>
      <c r="D35" s="210">
        <v>30</v>
      </c>
      <c r="E35" s="210">
        <f t="shared" si="0"/>
        <v>11.1</v>
      </c>
      <c r="F35" s="210">
        <f t="shared" si="1"/>
        <v>0</v>
      </c>
      <c r="G35" s="210">
        <f t="shared" si="2"/>
        <v>-41.99</v>
      </c>
    </row>
    <row r="36" spans="1:7" ht="12.75">
      <c r="A36" s="291" t="s">
        <v>510</v>
      </c>
      <c r="B36" s="291"/>
      <c r="C36" s="291"/>
      <c r="D36" s="291"/>
      <c r="E36" s="291"/>
      <c r="F36" s="291"/>
      <c r="G36" s="291"/>
    </row>
    <row r="37" spans="1:7" ht="12.75">
      <c r="A37" s="214">
        <v>0</v>
      </c>
      <c r="B37" s="210">
        <v>0</v>
      </c>
      <c r="C37" s="210">
        <v>0</v>
      </c>
      <c r="D37" s="210">
        <v>0</v>
      </c>
      <c r="E37" s="210">
        <f aca="true" t="shared" si="3" ref="E37:E73">TRUNC(B37*D37,2)</f>
        <v>0</v>
      </c>
      <c r="F37" s="210">
        <f aca="true" t="shared" si="4" ref="F37:F73">TRUNC(C37*D37,2)</f>
        <v>0</v>
      </c>
      <c r="G37" s="210">
        <v>0</v>
      </c>
    </row>
    <row r="38" spans="1:7" ht="12.75">
      <c r="A38" s="214">
        <v>1</v>
      </c>
      <c r="B38" s="210">
        <v>0</v>
      </c>
      <c r="C38" s="210">
        <v>0.37</v>
      </c>
      <c r="D38" s="210">
        <v>14.4</v>
      </c>
      <c r="E38" s="210">
        <f t="shared" si="3"/>
        <v>0</v>
      </c>
      <c r="F38" s="210">
        <f>TRUNC(C38*D38,2)</f>
        <v>5.32</v>
      </c>
      <c r="G38" s="210">
        <f>E38-F38+G37</f>
        <v>-5.32</v>
      </c>
    </row>
    <row r="39" spans="1:7" ht="12.75">
      <c r="A39" s="214" t="s">
        <v>513</v>
      </c>
      <c r="B39" s="210">
        <v>0</v>
      </c>
      <c r="C39" s="210">
        <v>0.37</v>
      </c>
      <c r="D39" s="210">
        <v>7.7</v>
      </c>
      <c r="E39" s="210">
        <f t="shared" si="3"/>
        <v>0</v>
      </c>
      <c r="F39" s="210">
        <f t="shared" si="4"/>
        <v>2.84</v>
      </c>
      <c r="G39" s="210">
        <f aca="true" t="shared" si="5" ref="G39:G47">E39-F39+G38</f>
        <v>-8.16</v>
      </c>
    </row>
    <row r="40" spans="1:7" ht="12.75">
      <c r="A40" s="214">
        <v>2</v>
      </c>
      <c r="B40" s="210">
        <v>0.6</v>
      </c>
      <c r="C40" s="210">
        <v>0</v>
      </c>
      <c r="D40" s="210">
        <v>12.3</v>
      </c>
      <c r="E40" s="210">
        <f t="shared" si="3"/>
        <v>7.38</v>
      </c>
      <c r="F40" s="210">
        <f t="shared" si="4"/>
        <v>0</v>
      </c>
      <c r="G40" s="210">
        <f t="shared" si="5"/>
        <v>-0.78</v>
      </c>
    </row>
    <row r="41" spans="1:7" ht="12.75">
      <c r="A41" s="214" t="s">
        <v>514</v>
      </c>
      <c r="B41" s="210">
        <v>0.6</v>
      </c>
      <c r="C41" s="210">
        <v>0</v>
      </c>
      <c r="D41" s="210">
        <v>8.35</v>
      </c>
      <c r="E41" s="210">
        <f t="shared" si="3"/>
        <v>5.01</v>
      </c>
      <c r="F41" s="210">
        <f t="shared" si="4"/>
        <v>0</v>
      </c>
      <c r="G41" s="210">
        <f t="shared" si="5"/>
        <v>4.23</v>
      </c>
    </row>
    <row r="42" spans="1:7" ht="12.75">
      <c r="A42" s="214">
        <v>3</v>
      </c>
      <c r="B42" s="210">
        <v>0</v>
      </c>
      <c r="C42" s="210">
        <v>0.43</v>
      </c>
      <c r="D42" s="210">
        <v>8.15</v>
      </c>
      <c r="E42" s="210">
        <f t="shared" si="3"/>
        <v>0</v>
      </c>
      <c r="F42" s="210">
        <f t="shared" si="4"/>
        <v>3.5</v>
      </c>
      <c r="G42" s="210">
        <f t="shared" si="5"/>
        <v>0.73</v>
      </c>
    </row>
    <row r="43" spans="1:7" ht="12.75">
      <c r="A43" s="214" t="s">
        <v>515</v>
      </c>
      <c r="B43" s="210">
        <v>0</v>
      </c>
      <c r="C43" s="210">
        <v>0.43</v>
      </c>
      <c r="D43" s="210">
        <v>4</v>
      </c>
      <c r="E43" s="210">
        <f t="shared" si="3"/>
        <v>0</v>
      </c>
      <c r="F43" s="210">
        <f t="shared" si="4"/>
        <v>1.72</v>
      </c>
      <c r="G43" s="210">
        <f t="shared" si="5"/>
        <v>-0.99</v>
      </c>
    </row>
    <row r="44" spans="1:7" ht="12.75">
      <c r="A44" s="214">
        <v>4</v>
      </c>
      <c r="B44" s="210">
        <v>0.56</v>
      </c>
      <c r="C44" s="210">
        <v>0</v>
      </c>
      <c r="D44" s="210">
        <v>19.5</v>
      </c>
      <c r="E44" s="210">
        <f t="shared" si="3"/>
        <v>10.92</v>
      </c>
      <c r="F44" s="210">
        <f t="shared" si="4"/>
        <v>0</v>
      </c>
      <c r="G44" s="210">
        <f t="shared" si="5"/>
        <v>9.93</v>
      </c>
    </row>
    <row r="45" spans="1:7" ht="12.75">
      <c r="A45" s="214" t="s">
        <v>516</v>
      </c>
      <c r="B45" s="210">
        <v>0.56</v>
      </c>
      <c r="C45" s="210">
        <v>0</v>
      </c>
      <c r="D45" s="210">
        <v>11.55</v>
      </c>
      <c r="E45" s="210">
        <f t="shared" si="3"/>
        <v>6.46</v>
      </c>
      <c r="F45" s="210">
        <f t="shared" si="4"/>
        <v>0</v>
      </c>
      <c r="G45" s="210">
        <f t="shared" si="5"/>
        <v>16.39</v>
      </c>
    </row>
    <row r="46" spans="1:7" ht="12.75">
      <c r="A46" s="214">
        <v>5</v>
      </c>
      <c r="B46" s="210">
        <v>0</v>
      </c>
      <c r="C46" s="210">
        <v>0.43</v>
      </c>
      <c r="D46" s="210">
        <v>8.45</v>
      </c>
      <c r="E46" s="210">
        <f t="shared" si="3"/>
        <v>0</v>
      </c>
      <c r="F46" s="210">
        <f t="shared" si="4"/>
        <v>3.63</v>
      </c>
      <c r="G46" s="210">
        <f t="shared" si="5"/>
        <v>12.76</v>
      </c>
    </row>
    <row r="47" spans="1:7" ht="12.75">
      <c r="A47" s="214">
        <v>6</v>
      </c>
      <c r="B47" s="210">
        <v>0</v>
      </c>
      <c r="C47" s="210">
        <v>0.43</v>
      </c>
      <c r="D47" s="210">
        <v>20</v>
      </c>
      <c r="E47" s="210">
        <f t="shared" si="3"/>
        <v>0</v>
      </c>
      <c r="F47" s="210">
        <f t="shared" si="4"/>
        <v>8.6</v>
      </c>
      <c r="G47" s="210">
        <f t="shared" si="5"/>
        <v>4.16</v>
      </c>
    </row>
    <row r="48" spans="1:7" ht="12.75">
      <c r="A48" s="291" t="s">
        <v>517</v>
      </c>
      <c r="B48" s="291"/>
      <c r="C48" s="291"/>
      <c r="D48" s="291"/>
      <c r="E48" s="291"/>
      <c r="F48" s="291"/>
      <c r="G48" s="291"/>
    </row>
    <row r="49" spans="1:7" ht="12.75">
      <c r="A49" s="214">
        <v>0</v>
      </c>
      <c r="B49" s="210">
        <v>0</v>
      </c>
      <c r="C49" s="210">
        <v>0</v>
      </c>
      <c r="D49" s="210">
        <v>0</v>
      </c>
      <c r="E49" s="210">
        <f t="shared" si="3"/>
        <v>0</v>
      </c>
      <c r="F49" s="210">
        <f t="shared" si="4"/>
        <v>0</v>
      </c>
      <c r="G49" s="210">
        <v>0</v>
      </c>
    </row>
    <row r="50" spans="1:7" ht="12.75">
      <c r="A50" s="214">
        <v>1</v>
      </c>
      <c r="B50" s="210">
        <v>0.23</v>
      </c>
      <c r="C50" s="210">
        <v>0</v>
      </c>
      <c r="D50" s="210">
        <v>13</v>
      </c>
      <c r="E50" s="210">
        <f t="shared" si="3"/>
        <v>2.99</v>
      </c>
      <c r="F50" s="210">
        <f t="shared" si="4"/>
        <v>0</v>
      </c>
      <c r="G50" s="210">
        <f>E50-F50+G49</f>
        <v>2.99</v>
      </c>
    </row>
    <row r="51" spans="1:7" ht="12.75">
      <c r="A51" s="214">
        <v>2</v>
      </c>
      <c r="B51" s="210">
        <v>0.7</v>
      </c>
      <c r="C51" s="210">
        <v>0</v>
      </c>
      <c r="D51" s="210">
        <v>20</v>
      </c>
      <c r="E51" s="210">
        <f t="shared" si="3"/>
        <v>14</v>
      </c>
      <c r="F51" s="210">
        <f t="shared" si="4"/>
        <v>0</v>
      </c>
      <c r="G51" s="210">
        <f aca="true" t="shared" si="6" ref="G51:G56">E51-F51+G50</f>
        <v>16.99</v>
      </c>
    </row>
    <row r="52" spans="1:7" ht="12.75">
      <c r="A52" s="214">
        <v>3</v>
      </c>
      <c r="B52" s="210">
        <v>0.8</v>
      </c>
      <c r="C52" s="210">
        <v>0</v>
      </c>
      <c r="D52" s="210">
        <v>17.5</v>
      </c>
      <c r="E52" s="210">
        <f t="shared" si="3"/>
        <v>14</v>
      </c>
      <c r="F52" s="210">
        <f t="shared" si="4"/>
        <v>0</v>
      </c>
      <c r="G52" s="210">
        <f t="shared" si="6"/>
        <v>30.99</v>
      </c>
    </row>
    <row r="53" spans="1:7" ht="12.75">
      <c r="A53" s="214">
        <v>4</v>
      </c>
      <c r="B53" s="210">
        <v>0.4</v>
      </c>
      <c r="C53" s="210">
        <v>0</v>
      </c>
      <c r="D53" s="210">
        <v>20</v>
      </c>
      <c r="E53" s="210">
        <f t="shared" si="3"/>
        <v>8</v>
      </c>
      <c r="F53" s="210">
        <f t="shared" si="4"/>
        <v>0</v>
      </c>
      <c r="G53" s="210">
        <f t="shared" si="6"/>
        <v>38.99</v>
      </c>
    </row>
    <row r="54" spans="1:7" ht="12.75">
      <c r="A54" s="214" t="s">
        <v>519</v>
      </c>
      <c r="B54" s="210">
        <v>0.07</v>
      </c>
      <c r="C54" s="210">
        <v>0</v>
      </c>
      <c r="D54" s="210">
        <v>6.5</v>
      </c>
      <c r="E54" s="210">
        <f t="shared" si="3"/>
        <v>0.45</v>
      </c>
      <c r="F54" s="210">
        <f t="shared" si="4"/>
        <v>0</v>
      </c>
      <c r="G54" s="210">
        <f t="shared" si="6"/>
        <v>39.44</v>
      </c>
    </row>
    <row r="55" spans="1:7" ht="12.75">
      <c r="A55" s="214">
        <v>5</v>
      </c>
      <c r="B55" s="210">
        <v>0</v>
      </c>
      <c r="C55" s="210">
        <v>0.13</v>
      </c>
      <c r="D55" s="210">
        <v>13.5</v>
      </c>
      <c r="E55" s="210">
        <f t="shared" si="3"/>
        <v>0</v>
      </c>
      <c r="F55" s="210">
        <f t="shared" si="4"/>
        <v>1.75</v>
      </c>
      <c r="G55" s="210">
        <f t="shared" si="6"/>
        <v>37.69</v>
      </c>
    </row>
    <row r="56" spans="1:7" ht="12.75">
      <c r="A56" s="214">
        <v>6</v>
      </c>
      <c r="B56" s="210">
        <v>0</v>
      </c>
      <c r="C56" s="210">
        <v>0.13</v>
      </c>
      <c r="D56" s="210">
        <v>20</v>
      </c>
      <c r="E56" s="210">
        <f t="shared" si="3"/>
        <v>0</v>
      </c>
      <c r="F56" s="210">
        <f t="shared" si="4"/>
        <v>2.6</v>
      </c>
      <c r="G56" s="210">
        <f t="shared" si="6"/>
        <v>35.09</v>
      </c>
    </row>
    <row r="57" spans="1:7" ht="12.75">
      <c r="A57" s="290" t="s">
        <v>520</v>
      </c>
      <c r="B57" s="290"/>
      <c r="C57" s="290"/>
      <c r="D57" s="290"/>
      <c r="E57" s="290"/>
      <c r="F57" s="290"/>
      <c r="G57" s="290"/>
    </row>
    <row r="58" spans="1:7" ht="12.75">
      <c r="A58" s="214">
        <v>0</v>
      </c>
      <c r="B58" s="210">
        <v>0</v>
      </c>
      <c r="C58" s="210">
        <v>0</v>
      </c>
      <c r="D58" s="210">
        <v>0</v>
      </c>
      <c r="E58" s="210">
        <f t="shared" si="3"/>
        <v>0</v>
      </c>
      <c r="F58" s="210">
        <f t="shared" si="4"/>
        <v>0</v>
      </c>
      <c r="G58" s="210">
        <f>F58-E58+G57</f>
        <v>0</v>
      </c>
    </row>
    <row r="59" spans="1:7" ht="12.75">
      <c r="A59" s="214">
        <v>1</v>
      </c>
      <c r="B59" s="210">
        <v>0</v>
      </c>
      <c r="C59" s="210">
        <v>0.13</v>
      </c>
      <c r="D59" s="210">
        <v>15.19</v>
      </c>
      <c r="E59" s="210">
        <f t="shared" si="3"/>
        <v>0</v>
      </c>
      <c r="F59" s="210">
        <f t="shared" si="4"/>
        <v>1.97</v>
      </c>
      <c r="G59" s="210">
        <f>E59-F59+G58</f>
        <v>-1.97</v>
      </c>
    </row>
    <row r="60" spans="1:7" ht="12.75">
      <c r="A60" s="214">
        <v>2</v>
      </c>
      <c r="B60" s="210">
        <v>0</v>
      </c>
      <c r="C60" s="210">
        <v>1.72</v>
      </c>
      <c r="D60" s="210">
        <v>20</v>
      </c>
      <c r="E60" s="210">
        <f t="shared" si="3"/>
        <v>0</v>
      </c>
      <c r="F60" s="210">
        <f t="shared" si="4"/>
        <v>34.4</v>
      </c>
      <c r="G60" s="210">
        <f aca="true" t="shared" si="7" ref="G60:G114">E60-F60+G59</f>
        <v>-36.37</v>
      </c>
    </row>
    <row r="61" spans="1:7" ht="12.75">
      <c r="A61" s="214">
        <v>3</v>
      </c>
      <c r="B61" s="210">
        <v>0</v>
      </c>
      <c r="C61" s="210">
        <v>3.02</v>
      </c>
      <c r="D61" s="210">
        <v>20</v>
      </c>
      <c r="E61" s="210">
        <f t="shared" si="3"/>
        <v>0</v>
      </c>
      <c r="F61" s="210">
        <f t="shared" si="4"/>
        <v>60.4</v>
      </c>
      <c r="G61" s="210">
        <f t="shared" si="7"/>
        <v>-96.77</v>
      </c>
    </row>
    <row r="62" spans="1:7" ht="12.75">
      <c r="A62" s="214">
        <v>4</v>
      </c>
      <c r="B62" s="210">
        <v>0</v>
      </c>
      <c r="C62" s="210">
        <v>2.35</v>
      </c>
      <c r="D62" s="210">
        <v>20</v>
      </c>
      <c r="E62" s="210">
        <f t="shared" si="3"/>
        <v>0</v>
      </c>
      <c r="F62" s="210">
        <f t="shared" si="4"/>
        <v>47</v>
      </c>
      <c r="G62" s="210">
        <f t="shared" si="7"/>
        <v>-143.77</v>
      </c>
    </row>
    <row r="63" spans="1:7" ht="12.75">
      <c r="A63" s="214">
        <v>5</v>
      </c>
      <c r="B63" s="210">
        <v>0</v>
      </c>
      <c r="C63" s="210">
        <v>1.61</v>
      </c>
      <c r="D63" s="210">
        <v>23.68</v>
      </c>
      <c r="E63" s="210">
        <f t="shared" si="3"/>
        <v>0</v>
      </c>
      <c r="F63" s="210">
        <f t="shared" si="4"/>
        <v>38.12</v>
      </c>
      <c r="G63" s="210">
        <f t="shared" si="7"/>
        <v>-181.89</v>
      </c>
    </row>
    <row r="64" spans="1:7" ht="12.75">
      <c r="A64" s="214" t="s">
        <v>521</v>
      </c>
      <c r="B64" s="210">
        <v>0</v>
      </c>
      <c r="C64" s="210">
        <v>0.7</v>
      </c>
      <c r="D64" s="210">
        <v>15</v>
      </c>
      <c r="E64" s="210">
        <f t="shared" si="3"/>
        <v>0</v>
      </c>
      <c r="F64" s="210">
        <f t="shared" si="4"/>
        <v>10.5</v>
      </c>
      <c r="G64" s="210">
        <f t="shared" si="7"/>
        <v>-192.39</v>
      </c>
    </row>
    <row r="65" spans="1:7" ht="12.75">
      <c r="A65" s="214">
        <v>6</v>
      </c>
      <c r="B65" s="210">
        <v>0.66</v>
      </c>
      <c r="C65" s="210">
        <v>0</v>
      </c>
      <c r="D65" s="210">
        <v>11.5</v>
      </c>
      <c r="E65" s="210">
        <f t="shared" si="3"/>
        <v>7.59</v>
      </c>
      <c r="F65" s="210">
        <f t="shared" si="4"/>
        <v>0</v>
      </c>
      <c r="G65" s="210">
        <f t="shared" si="7"/>
        <v>-184.8</v>
      </c>
    </row>
    <row r="66" spans="1:7" ht="12.75">
      <c r="A66" s="214">
        <v>7</v>
      </c>
      <c r="B66" s="210">
        <v>0.66</v>
      </c>
      <c r="C66" s="210">
        <v>0</v>
      </c>
      <c r="D66" s="210">
        <v>9.4</v>
      </c>
      <c r="E66" s="210">
        <f t="shared" si="3"/>
        <v>6.2</v>
      </c>
      <c r="F66" s="210">
        <f t="shared" si="4"/>
        <v>0</v>
      </c>
      <c r="G66" s="210">
        <f t="shared" si="7"/>
        <v>-178.6</v>
      </c>
    </row>
    <row r="67" spans="1:7" ht="12.75">
      <c r="A67" s="214">
        <v>8</v>
      </c>
      <c r="B67" s="210">
        <v>0</v>
      </c>
      <c r="C67" s="210">
        <v>0.13</v>
      </c>
      <c r="D67" s="210">
        <v>25.35</v>
      </c>
      <c r="E67" s="210">
        <f t="shared" si="3"/>
        <v>0</v>
      </c>
      <c r="F67" s="210">
        <f t="shared" si="4"/>
        <v>3.29</v>
      </c>
      <c r="G67" s="210">
        <f t="shared" si="7"/>
        <v>-181.89</v>
      </c>
    </row>
    <row r="68" spans="1:7" ht="12.75">
      <c r="A68" s="214">
        <v>9</v>
      </c>
      <c r="B68" s="210">
        <v>0</v>
      </c>
      <c r="C68" s="210">
        <v>0.3</v>
      </c>
      <c r="D68" s="210">
        <v>20</v>
      </c>
      <c r="E68" s="210">
        <f t="shared" si="3"/>
        <v>0</v>
      </c>
      <c r="F68" s="210">
        <f t="shared" si="4"/>
        <v>6</v>
      </c>
      <c r="G68" s="210">
        <f t="shared" si="7"/>
        <v>-187.89</v>
      </c>
    </row>
    <row r="69" spans="1:7" ht="12.75">
      <c r="A69" s="214" t="s">
        <v>522</v>
      </c>
      <c r="B69" s="210">
        <v>0</v>
      </c>
      <c r="C69" s="210">
        <v>0.16</v>
      </c>
      <c r="D69" s="210">
        <v>4.8</v>
      </c>
      <c r="E69" s="210">
        <f t="shared" si="3"/>
        <v>0</v>
      </c>
      <c r="F69" s="210">
        <f t="shared" si="4"/>
        <v>0.76</v>
      </c>
      <c r="G69" s="210">
        <f t="shared" si="7"/>
        <v>-188.65</v>
      </c>
    </row>
    <row r="70" spans="1:7" ht="12.75">
      <c r="A70" s="214">
        <v>10</v>
      </c>
      <c r="B70" s="210">
        <v>0.37</v>
      </c>
      <c r="C70" s="210">
        <v>0</v>
      </c>
      <c r="D70" s="210">
        <v>15.2</v>
      </c>
      <c r="E70" s="210">
        <f t="shared" si="3"/>
        <v>5.62</v>
      </c>
      <c r="F70" s="210">
        <f t="shared" si="4"/>
        <v>0</v>
      </c>
      <c r="G70" s="210">
        <f t="shared" si="7"/>
        <v>-183.03</v>
      </c>
    </row>
    <row r="71" spans="1:7" ht="12.75">
      <c r="A71" s="214">
        <v>11</v>
      </c>
      <c r="B71" s="210">
        <v>0.8</v>
      </c>
      <c r="C71" s="210">
        <v>0</v>
      </c>
      <c r="D71" s="210">
        <v>20</v>
      </c>
      <c r="E71" s="210">
        <f t="shared" si="3"/>
        <v>16</v>
      </c>
      <c r="F71" s="210">
        <f t="shared" si="4"/>
        <v>0</v>
      </c>
      <c r="G71" s="210">
        <f t="shared" si="7"/>
        <v>-167.03</v>
      </c>
    </row>
    <row r="72" spans="1:7" ht="12.75">
      <c r="A72" s="214">
        <v>12</v>
      </c>
      <c r="B72" s="210">
        <v>0.69</v>
      </c>
      <c r="C72" s="210">
        <v>0</v>
      </c>
      <c r="D72" s="210">
        <v>21</v>
      </c>
      <c r="E72" s="210">
        <f t="shared" si="3"/>
        <v>14.49</v>
      </c>
      <c r="F72" s="210">
        <f t="shared" si="4"/>
        <v>0</v>
      </c>
      <c r="G72" s="210">
        <f t="shared" si="7"/>
        <v>-152.54</v>
      </c>
    </row>
    <row r="73" spans="1:7" ht="12.75">
      <c r="A73" s="214">
        <v>13</v>
      </c>
      <c r="B73" s="210">
        <v>0.25</v>
      </c>
      <c r="C73" s="210">
        <v>0</v>
      </c>
      <c r="D73" s="210">
        <v>26.8</v>
      </c>
      <c r="E73" s="210">
        <f t="shared" si="3"/>
        <v>6.7</v>
      </c>
      <c r="F73" s="210">
        <f t="shared" si="4"/>
        <v>0</v>
      </c>
      <c r="G73" s="210">
        <f t="shared" si="7"/>
        <v>-145.84</v>
      </c>
    </row>
    <row r="74" spans="1:7" ht="12.75">
      <c r="A74" s="290" t="s">
        <v>523</v>
      </c>
      <c r="B74" s="290"/>
      <c r="C74" s="290"/>
      <c r="D74" s="290"/>
      <c r="E74" s="290"/>
      <c r="F74" s="290"/>
      <c r="G74" s="290"/>
    </row>
    <row r="75" spans="1:7" ht="12.75">
      <c r="A75" s="214">
        <v>0</v>
      </c>
      <c r="B75" s="210">
        <v>0</v>
      </c>
      <c r="C75" s="210">
        <v>0</v>
      </c>
      <c r="D75" s="210">
        <v>0</v>
      </c>
      <c r="E75" s="210">
        <f aca="true" t="shared" si="8" ref="E75:E114">TRUNC(B75*D75,2)</f>
        <v>0</v>
      </c>
      <c r="F75" s="210">
        <f aca="true" t="shared" si="9" ref="F75:F114">TRUNC(C75*D75,2)</f>
        <v>0</v>
      </c>
      <c r="G75" s="210">
        <f t="shared" si="7"/>
        <v>0</v>
      </c>
    </row>
    <row r="76" spans="1:7" ht="12.75">
      <c r="A76" s="214">
        <v>1</v>
      </c>
      <c r="B76" s="210">
        <v>1.27</v>
      </c>
      <c r="C76" s="210">
        <v>0</v>
      </c>
      <c r="D76" s="210">
        <v>22.1</v>
      </c>
      <c r="E76" s="210">
        <f t="shared" si="8"/>
        <v>28.06</v>
      </c>
      <c r="F76" s="210">
        <f t="shared" si="9"/>
        <v>0</v>
      </c>
      <c r="G76" s="210">
        <f>E76-F76+G75</f>
        <v>28.06</v>
      </c>
    </row>
    <row r="77" spans="1:7" ht="12.75">
      <c r="A77" s="214">
        <v>2</v>
      </c>
      <c r="B77" s="210">
        <v>2.84</v>
      </c>
      <c r="C77" s="210">
        <v>0</v>
      </c>
      <c r="D77" s="210">
        <v>20</v>
      </c>
      <c r="E77" s="210">
        <f t="shared" si="8"/>
        <v>56.8</v>
      </c>
      <c r="F77" s="210">
        <f t="shared" si="9"/>
        <v>0</v>
      </c>
      <c r="G77" s="210">
        <f t="shared" si="7"/>
        <v>84.86</v>
      </c>
    </row>
    <row r="78" spans="1:7" ht="12.75">
      <c r="A78" s="214">
        <v>3</v>
      </c>
      <c r="B78" s="210">
        <v>3.33</v>
      </c>
      <c r="C78" s="210">
        <v>0</v>
      </c>
      <c r="D78" s="210">
        <v>20</v>
      </c>
      <c r="E78" s="210">
        <f t="shared" si="8"/>
        <v>66.6</v>
      </c>
      <c r="F78" s="210">
        <f t="shared" si="9"/>
        <v>0</v>
      </c>
      <c r="G78" s="210">
        <f t="shared" si="7"/>
        <v>151.46</v>
      </c>
    </row>
    <row r="79" spans="1:7" ht="12.75">
      <c r="A79" s="214">
        <v>4</v>
      </c>
      <c r="B79" s="210">
        <v>3.13</v>
      </c>
      <c r="C79" s="210">
        <v>0</v>
      </c>
      <c r="D79" s="210">
        <v>20</v>
      </c>
      <c r="E79" s="210">
        <f t="shared" si="8"/>
        <v>62.6</v>
      </c>
      <c r="F79" s="210">
        <f t="shared" si="9"/>
        <v>0</v>
      </c>
      <c r="G79" s="210">
        <f t="shared" si="7"/>
        <v>214.06</v>
      </c>
    </row>
    <row r="80" spans="1:7" ht="12.75">
      <c r="A80" s="214">
        <v>5</v>
      </c>
      <c r="B80" s="210">
        <v>2.79</v>
      </c>
      <c r="C80" s="210">
        <v>0</v>
      </c>
      <c r="D80" s="210">
        <v>20</v>
      </c>
      <c r="E80" s="210">
        <f t="shared" si="8"/>
        <v>55.8</v>
      </c>
      <c r="F80" s="210">
        <f t="shared" si="9"/>
        <v>0</v>
      </c>
      <c r="G80" s="210">
        <f t="shared" si="7"/>
        <v>269.86</v>
      </c>
    </row>
    <row r="81" spans="1:7" ht="12.75">
      <c r="A81" s="214">
        <v>6</v>
      </c>
      <c r="B81" s="210">
        <v>2.75</v>
      </c>
      <c r="C81" s="210">
        <v>0</v>
      </c>
      <c r="D81" s="210">
        <v>12</v>
      </c>
      <c r="E81" s="210">
        <f t="shared" si="8"/>
        <v>33</v>
      </c>
      <c r="F81" s="210">
        <f t="shared" si="9"/>
        <v>0</v>
      </c>
      <c r="G81" s="210">
        <f t="shared" si="7"/>
        <v>302.86</v>
      </c>
    </row>
    <row r="82" spans="1:7" ht="12.75">
      <c r="A82" s="214">
        <v>7</v>
      </c>
      <c r="B82" s="210">
        <v>1.39</v>
      </c>
      <c r="C82" s="210">
        <v>0</v>
      </c>
      <c r="D82" s="210">
        <v>14.23</v>
      </c>
      <c r="E82" s="210">
        <f t="shared" si="8"/>
        <v>19.77</v>
      </c>
      <c r="F82" s="210">
        <f t="shared" si="9"/>
        <v>0</v>
      </c>
      <c r="G82" s="210">
        <f t="shared" si="7"/>
        <v>322.63</v>
      </c>
    </row>
    <row r="83" spans="1:7" ht="12.75">
      <c r="A83" s="214">
        <v>8</v>
      </c>
      <c r="B83" s="210">
        <v>1.61</v>
      </c>
      <c r="C83" s="210">
        <v>0</v>
      </c>
      <c r="D83" s="210">
        <v>20</v>
      </c>
      <c r="E83" s="210">
        <f t="shared" si="8"/>
        <v>32.2</v>
      </c>
      <c r="F83" s="210">
        <f t="shared" si="9"/>
        <v>0</v>
      </c>
      <c r="G83" s="210">
        <f t="shared" si="7"/>
        <v>354.83</v>
      </c>
    </row>
    <row r="84" spans="1:7" ht="12.75">
      <c r="A84" s="214">
        <v>9</v>
      </c>
      <c r="B84" s="210">
        <v>6.13</v>
      </c>
      <c r="C84" s="210">
        <v>0</v>
      </c>
      <c r="D84" s="210">
        <v>20</v>
      </c>
      <c r="E84" s="210">
        <f t="shared" si="8"/>
        <v>122.6</v>
      </c>
      <c r="F84" s="210">
        <f t="shared" si="9"/>
        <v>0</v>
      </c>
      <c r="G84" s="210">
        <f t="shared" si="7"/>
        <v>477.43</v>
      </c>
    </row>
    <row r="85" spans="1:7" ht="12.75">
      <c r="A85" s="214">
        <v>10</v>
      </c>
      <c r="B85" s="210">
        <v>5.11</v>
      </c>
      <c r="C85" s="210">
        <v>0</v>
      </c>
      <c r="D85" s="210">
        <v>20</v>
      </c>
      <c r="E85" s="210">
        <f t="shared" si="8"/>
        <v>102.2</v>
      </c>
      <c r="F85" s="210">
        <f t="shared" si="9"/>
        <v>0</v>
      </c>
      <c r="G85" s="210">
        <f t="shared" si="7"/>
        <v>579.63</v>
      </c>
    </row>
    <row r="86" spans="1:7" ht="12.75">
      <c r="A86" s="214">
        <v>11</v>
      </c>
      <c r="B86" s="210">
        <v>0.9</v>
      </c>
      <c r="C86" s="210">
        <v>0</v>
      </c>
      <c r="D86" s="210">
        <v>20</v>
      </c>
      <c r="E86" s="210">
        <f t="shared" si="8"/>
        <v>18</v>
      </c>
      <c r="F86" s="210">
        <f t="shared" si="9"/>
        <v>0</v>
      </c>
      <c r="G86" s="210">
        <f t="shared" si="7"/>
        <v>597.63</v>
      </c>
    </row>
    <row r="87" spans="1:7" ht="12.75">
      <c r="A87" s="214">
        <v>12</v>
      </c>
      <c r="B87" s="210">
        <v>1.43</v>
      </c>
      <c r="C87" s="210">
        <v>0</v>
      </c>
      <c r="D87" s="210">
        <v>20</v>
      </c>
      <c r="E87" s="210">
        <f t="shared" si="8"/>
        <v>28.6</v>
      </c>
      <c r="F87" s="210">
        <f t="shared" si="9"/>
        <v>0</v>
      </c>
      <c r="G87" s="210">
        <f t="shared" si="7"/>
        <v>626.23</v>
      </c>
    </row>
    <row r="88" spans="1:7" ht="12.75">
      <c r="A88" s="214">
        <v>13</v>
      </c>
      <c r="B88" s="210">
        <v>1.71</v>
      </c>
      <c r="C88" s="210">
        <v>0</v>
      </c>
      <c r="D88" s="210">
        <v>20</v>
      </c>
      <c r="E88" s="210">
        <f t="shared" si="8"/>
        <v>34.2</v>
      </c>
      <c r="F88" s="210">
        <f t="shared" si="9"/>
        <v>0</v>
      </c>
      <c r="G88" s="210">
        <f t="shared" si="7"/>
        <v>660.43</v>
      </c>
    </row>
    <row r="89" spans="1:7" ht="12.75">
      <c r="A89" s="214">
        <v>14</v>
      </c>
      <c r="B89" s="210">
        <v>1.62</v>
      </c>
      <c r="C89" s="210">
        <v>0</v>
      </c>
      <c r="D89" s="210">
        <v>20</v>
      </c>
      <c r="E89" s="210">
        <f t="shared" si="8"/>
        <v>32.4</v>
      </c>
      <c r="F89" s="210">
        <f t="shared" si="9"/>
        <v>0</v>
      </c>
      <c r="G89" s="210">
        <f t="shared" si="7"/>
        <v>692.83</v>
      </c>
    </row>
    <row r="90" spans="1:7" ht="12.75">
      <c r="A90" s="214">
        <v>15</v>
      </c>
      <c r="B90" s="210">
        <v>1.98</v>
      </c>
      <c r="C90" s="210">
        <v>0</v>
      </c>
      <c r="D90" s="210">
        <v>20</v>
      </c>
      <c r="E90" s="210">
        <f t="shared" si="8"/>
        <v>39.6</v>
      </c>
      <c r="F90" s="210">
        <f t="shared" si="9"/>
        <v>0</v>
      </c>
      <c r="G90" s="210">
        <f t="shared" si="7"/>
        <v>732.43</v>
      </c>
    </row>
    <row r="91" spans="1:7" ht="12.75">
      <c r="A91" s="214" t="s">
        <v>524</v>
      </c>
      <c r="B91" s="210">
        <v>1</v>
      </c>
      <c r="C91" s="210">
        <v>0</v>
      </c>
      <c r="D91" s="210">
        <v>8.6</v>
      </c>
      <c r="E91" s="210">
        <f t="shared" si="8"/>
        <v>8.6</v>
      </c>
      <c r="F91" s="210">
        <f t="shared" si="9"/>
        <v>0</v>
      </c>
      <c r="G91" s="210">
        <f t="shared" si="7"/>
        <v>741.03</v>
      </c>
    </row>
    <row r="92" spans="1:7" ht="12.75">
      <c r="A92" s="214">
        <v>16</v>
      </c>
      <c r="B92" s="210">
        <v>0</v>
      </c>
      <c r="C92" s="210">
        <v>1.33</v>
      </c>
      <c r="D92" s="210">
        <v>11.4</v>
      </c>
      <c r="E92" s="210">
        <f t="shared" si="8"/>
        <v>0</v>
      </c>
      <c r="F92" s="210">
        <f t="shared" si="9"/>
        <v>15.16</v>
      </c>
      <c r="G92" s="210">
        <f t="shared" si="7"/>
        <v>725.87</v>
      </c>
    </row>
    <row r="93" spans="1:7" ht="12.75">
      <c r="A93" s="214" t="s">
        <v>525</v>
      </c>
      <c r="B93" s="210">
        <v>0</v>
      </c>
      <c r="C93" s="210">
        <v>1.33</v>
      </c>
      <c r="D93" s="210">
        <v>16.75</v>
      </c>
      <c r="E93" s="210">
        <f t="shared" si="8"/>
        <v>0</v>
      </c>
      <c r="F93" s="210">
        <f t="shared" si="9"/>
        <v>22.27</v>
      </c>
      <c r="G93" s="210">
        <f t="shared" si="7"/>
        <v>703.6</v>
      </c>
    </row>
    <row r="94" spans="1:7" ht="12.75">
      <c r="A94" s="214">
        <v>17</v>
      </c>
      <c r="B94" s="210">
        <v>0.26</v>
      </c>
      <c r="C94" s="210">
        <v>0</v>
      </c>
      <c r="D94" s="210">
        <v>3.25</v>
      </c>
      <c r="E94" s="210">
        <f t="shared" si="8"/>
        <v>0.84</v>
      </c>
      <c r="F94" s="210">
        <f t="shared" si="9"/>
        <v>0</v>
      </c>
      <c r="G94" s="210">
        <f t="shared" si="7"/>
        <v>704.44</v>
      </c>
    </row>
    <row r="95" spans="1:7" ht="12.75">
      <c r="A95" s="214" t="s">
        <v>526</v>
      </c>
      <c r="B95" s="210">
        <v>0.26</v>
      </c>
      <c r="C95" s="210">
        <v>0</v>
      </c>
      <c r="D95" s="210">
        <v>9</v>
      </c>
      <c r="E95" s="210">
        <f t="shared" si="8"/>
        <v>2.34</v>
      </c>
      <c r="F95" s="210">
        <f t="shared" si="9"/>
        <v>0</v>
      </c>
      <c r="G95" s="210">
        <f t="shared" si="7"/>
        <v>706.78</v>
      </c>
    </row>
    <row r="96" spans="1:7" ht="12.75">
      <c r="A96" s="214">
        <v>18</v>
      </c>
      <c r="B96" s="210">
        <v>0</v>
      </c>
      <c r="C96" s="210">
        <v>0.31</v>
      </c>
      <c r="D96" s="210">
        <v>11</v>
      </c>
      <c r="E96" s="210">
        <f t="shared" si="8"/>
        <v>0</v>
      </c>
      <c r="F96" s="210">
        <f t="shared" si="9"/>
        <v>3.41</v>
      </c>
      <c r="G96" s="210">
        <f t="shared" si="7"/>
        <v>703.37</v>
      </c>
    </row>
    <row r="97" spans="1:7" ht="12.75">
      <c r="A97" s="216">
        <v>19</v>
      </c>
      <c r="B97" s="210">
        <v>0</v>
      </c>
      <c r="C97" s="210">
        <v>0.56</v>
      </c>
      <c r="D97" s="210">
        <v>20</v>
      </c>
      <c r="E97" s="210">
        <f t="shared" si="8"/>
        <v>0</v>
      </c>
      <c r="F97" s="210">
        <f t="shared" si="9"/>
        <v>11.2</v>
      </c>
      <c r="G97" s="210">
        <f t="shared" si="7"/>
        <v>692.17</v>
      </c>
    </row>
    <row r="98" spans="1:7" ht="12.75">
      <c r="A98" s="216">
        <v>20</v>
      </c>
      <c r="B98" s="210">
        <v>0</v>
      </c>
      <c r="C98" s="210">
        <v>0.35</v>
      </c>
      <c r="D98" s="210">
        <v>20</v>
      </c>
      <c r="E98" s="210">
        <f t="shared" si="8"/>
        <v>0</v>
      </c>
      <c r="F98" s="210">
        <f t="shared" si="9"/>
        <v>7</v>
      </c>
      <c r="G98" s="210">
        <f t="shared" si="7"/>
        <v>685.17</v>
      </c>
    </row>
    <row r="99" spans="1:7" ht="12.75">
      <c r="A99" s="216">
        <v>21</v>
      </c>
      <c r="B99" s="210">
        <v>0</v>
      </c>
      <c r="C99" s="210">
        <v>0.33</v>
      </c>
      <c r="D99" s="210">
        <v>20</v>
      </c>
      <c r="E99" s="210">
        <f t="shared" si="8"/>
        <v>0</v>
      </c>
      <c r="F99" s="210">
        <f t="shared" si="9"/>
        <v>6.6</v>
      </c>
      <c r="G99" s="210">
        <f t="shared" si="7"/>
        <v>678.57</v>
      </c>
    </row>
    <row r="100" spans="1:7" ht="12.75">
      <c r="A100" s="216" t="s">
        <v>527</v>
      </c>
      <c r="B100" s="210">
        <v>0</v>
      </c>
      <c r="C100" s="210">
        <v>0.24</v>
      </c>
      <c r="D100" s="210">
        <v>9.6</v>
      </c>
      <c r="E100" s="210">
        <f t="shared" si="8"/>
        <v>0</v>
      </c>
      <c r="F100" s="210">
        <f t="shared" si="9"/>
        <v>2.3</v>
      </c>
      <c r="G100" s="210">
        <f t="shared" si="7"/>
        <v>676.27</v>
      </c>
    </row>
    <row r="101" spans="1:7" ht="12.75">
      <c r="A101" s="216">
        <v>22</v>
      </c>
      <c r="B101" s="210">
        <v>0.26</v>
      </c>
      <c r="C101" s="210">
        <v>0</v>
      </c>
      <c r="D101" s="210">
        <v>10.4</v>
      </c>
      <c r="E101" s="210">
        <f t="shared" si="8"/>
        <v>2.7</v>
      </c>
      <c r="F101" s="210">
        <f t="shared" si="9"/>
        <v>0</v>
      </c>
      <c r="G101" s="210">
        <f t="shared" si="7"/>
        <v>678.97</v>
      </c>
    </row>
    <row r="102" spans="1:7" ht="12.75">
      <c r="A102" s="216">
        <v>23</v>
      </c>
      <c r="B102" s="210">
        <v>1.58</v>
      </c>
      <c r="C102" s="210">
        <v>0</v>
      </c>
      <c r="D102" s="210">
        <v>28</v>
      </c>
      <c r="E102" s="210">
        <f t="shared" si="8"/>
        <v>44.24</v>
      </c>
      <c r="F102" s="210">
        <f t="shared" si="9"/>
        <v>0</v>
      </c>
      <c r="G102" s="210">
        <f t="shared" si="7"/>
        <v>723.21</v>
      </c>
    </row>
    <row r="103" spans="1:7" ht="12.75">
      <c r="A103" s="288" t="s">
        <v>528</v>
      </c>
      <c r="B103" s="288"/>
      <c r="C103" s="288"/>
      <c r="D103" s="288"/>
      <c r="E103" s="288"/>
      <c r="F103" s="288"/>
      <c r="G103" s="288"/>
    </row>
    <row r="104" spans="1:7" ht="12.75">
      <c r="A104" s="216">
        <v>0</v>
      </c>
      <c r="B104" s="210">
        <v>0</v>
      </c>
      <c r="C104" s="210">
        <v>0</v>
      </c>
      <c r="D104" s="210">
        <v>0</v>
      </c>
      <c r="E104" s="210">
        <f t="shared" si="8"/>
        <v>0</v>
      </c>
      <c r="F104" s="210">
        <f t="shared" si="9"/>
        <v>0</v>
      </c>
      <c r="G104" s="210">
        <v>0</v>
      </c>
    </row>
    <row r="105" spans="1:7" ht="12.75">
      <c r="A105" s="216">
        <v>1</v>
      </c>
      <c r="B105" s="210">
        <v>0</v>
      </c>
      <c r="C105" s="210">
        <v>0.06</v>
      </c>
      <c r="D105" s="210">
        <v>20</v>
      </c>
      <c r="E105" s="210">
        <f t="shared" si="8"/>
        <v>0</v>
      </c>
      <c r="F105" s="210">
        <f t="shared" si="9"/>
        <v>1.2</v>
      </c>
      <c r="G105" s="210">
        <f t="shared" si="7"/>
        <v>-1.2</v>
      </c>
    </row>
    <row r="106" spans="1:7" ht="12.75">
      <c r="A106" s="216">
        <v>2</v>
      </c>
      <c r="B106" s="210">
        <v>0</v>
      </c>
      <c r="C106" s="210">
        <v>0.35</v>
      </c>
      <c r="D106" s="210">
        <v>20</v>
      </c>
      <c r="E106" s="210">
        <f t="shared" si="8"/>
        <v>0</v>
      </c>
      <c r="F106" s="210">
        <f t="shared" si="9"/>
        <v>7</v>
      </c>
      <c r="G106" s="210">
        <f t="shared" si="7"/>
        <v>-8.2</v>
      </c>
    </row>
    <row r="107" spans="1:7" ht="12.75">
      <c r="A107" s="216">
        <v>3</v>
      </c>
      <c r="B107" s="210">
        <v>0</v>
      </c>
      <c r="C107" s="210">
        <v>0.59</v>
      </c>
      <c r="D107" s="210">
        <v>20</v>
      </c>
      <c r="E107" s="210">
        <f t="shared" si="8"/>
        <v>0</v>
      </c>
      <c r="F107" s="210">
        <f t="shared" si="9"/>
        <v>11.8</v>
      </c>
      <c r="G107" s="210">
        <f t="shared" si="7"/>
        <v>-20</v>
      </c>
    </row>
    <row r="108" spans="1:7" ht="12.75">
      <c r="A108" s="216">
        <v>4</v>
      </c>
      <c r="B108" s="210">
        <v>0</v>
      </c>
      <c r="C108" s="210">
        <v>0.36</v>
      </c>
      <c r="D108" s="210">
        <v>20</v>
      </c>
      <c r="E108" s="210">
        <f t="shared" si="8"/>
        <v>0</v>
      </c>
      <c r="F108" s="210">
        <f t="shared" si="9"/>
        <v>7.2</v>
      </c>
      <c r="G108" s="210">
        <f t="shared" si="7"/>
        <v>-27.2</v>
      </c>
    </row>
    <row r="109" spans="1:7" ht="12.75">
      <c r="A109" s="216">
        <v>5</v>
      </c>
      <c r="B109" s="210">
        <v>0</v>
      </c>
      <c r="C109" s="210">
        <v>0.47</v>
      </c>
      <c r="D109" s="210">
        <v>20</v>
      </c>
      <c r="E109" s="210">
        <f t="shared" si="8"/>
        <v>0</v>
      </c>
      <c r="F109" s="210">
        <f t="shared" si="9"/>
        <v>9.4</v>
      </c>
      <c r="G109" s="210">
        <f t="shared" si="7"/>
        <v>-36.6</v>
      </c>
    </row>
    <row r="110" spans="1:7" ht="12.75">
      <c r="A110" s="216">
        <v>6</v>
      </c>
      <c r="B110" s="210">
        <v>0</v>
      </c>
      <c r="C110" s="210">
        <v>0.86</v>
      </c>
      <c r="D110" s="210">
        <v>20</v>
      </c>
      <c r="E110" s="210">
        <f t="shared" si="8"/>
        <v>0</v>
      </c>
      <c r="F110" s="210">
        <f t="shared" si="9"/>
        <v>17.2</v>
      </c>
      <c r="G110" s="210">
        <f t="shared" si="7"/>
        <v>-53.8</v>
      </c>
    </row>
    <row r="111" spans="1:7" ht="12.75">
      <c r="A111" s="216">
        <v>7</v>
      </c>
      <c r="B111" s="210">
        <v>0</v>
      </c>
      <c r="C111" s="210">
        <v>0.44</v>
      </c>
      <c r="D111" s="210">
        <v>21.5</v>
      </c>
      <c r="E111" s="210">
        <f t="shared" si="8"/>
        <v>0</v>
      </c>
      <c r="F111" s="210">
        <f t="shared" si="9"/>
        <v>9.46</v>
      </c>
      <c r="G111" s="210">
        <f t="shared" si="7"/>
        <v>-63.26</v>
      </c>
    </row>
    <row r="112" spans="1:7" ht="12.75">
      <c r="A112" s="288" t="s">
        <v>529</v>
      </c>
      <c r="B112" s="288"/>
      <c r="C112" s="288"/>
      <c r="D112" s="288"/>
      <c r="E112" s="288"/>
      <c r="F112" s="288"/>
      <c r="G112" s="288"/>
    </row>
    <row r="113" spans="1:7" ht="12.75">
      <c r="A113" s="216">
        <v>0</v>
      </c>
      <c r="B113" s="210">
        <v>0</v>
      </c>
      <c r="C113" s="210">
        <v>0</v>
      </c>
      <c r="D113" s="210">
        <v>0</v>
      </c>
      <c r="E113" s="210">
        <f t="shared" si="8"/>
        <v>0</v>
      </c>
      <c r="F113" s="210">
        <f t="shared" si="9"/>
        <v>0</v>
      </c>
      <c r="G113" s="210">
        <v>0</v>
      </c>
    </row>
    <row r="114" spans="1:7" ht="12.75">
      <c r="A114" s="216">
        <v>1</v>
      </c>
      <c r="B114" s="210">
        <v>0</v>
      </c>
      <c r="C114" s="210">
        <v>0.57</v>
      </c>
      <c r="D114" s="210">
        <v>20</v>
      </c>
      <c r="E114" s="210">
        <f t="shared" si="8"/>
        <v>0</v>
      </c>
      <c r="F114" s="210">
        <f t="shared" si="9"/>
        <v>11.4</v>
      </c>
      <c r="G114" s="210">
        <f t="shared" si="7"/>
        <v>-11.4</v>
      </c>
    </row>
    <row r="115" spans="1:7" ht="12.75">
      <c r="A115" s="216">
        <v>2</v>
      </c>
      <c r="B115" s="210">
        <v>0</v>
      </c>
      <c r="C115" s="210">
        <v>1.07</v>
      </c>
      <c r="D115" s="210">
        <v>20</v>
      </c>
      <c r="E115" s="210">
        <f aca="true" t="shared" si="10" ref="E115:E140">TRUNC(B115*D115,2)</f>
        <v>0</v>
      </c>
      <c r="F115" s="210">
        <f aca="true" t="shared" si="11" ref="F115:F140">TRUNC(C115*D115,2)</f>
        <v>21.4</v>
      </c>
      <c r="G115" s="210">
        <f aca="true" t="shared" si="12" ref="G115:G140">E115-F115+G114</f>
        <v>-32.8</v>
      </c>
    </row>
    <row r="116" spans="1:7" ht="12.75">
      <c r="A116" s="216">
        <v>3</v>
      </c>
      <c r="B116" s="210">
        <v>0</v>
      </c>
      <c r="C116" s="210">
        <v>0.57</v>
      </c>
      <c r="D116" s="210">
        <v>20</v>
      </c>
      <c r="E116" s="210">
        <f t="shared" si="10"/>
        <v>0</v>
      </c>
      <c r="F116" s="210">
        <f t="shared" si="11"/>
        <v>11.4</v>
      </c>
      <c r="G116" s="210">
        <f t="shared" si="12"/>
        <v>-44.2</v>
      </c>
    </row>
    <row r="117" spans="1:7" ht="12.75">
      <c r="A117" s="216" t="s">
        <v>530</v>
      </c>
      <c r="B117" s="210">
        <v>0</v>
      </c>
      <c r="C117" s="210">
        <v>0.07</v>
      </c>
      <c r="D117" s="210">
        <v>2.6</v>
      </c>
      <c r="E117" s="210">
        <f t="shared" si="10"/>
        <v>0</v>
      </c>
      <c r="F117" s="210">
        <f t="shared" si="11"/>
        <v>0.18</v>
      </c>
      <c r="G117" s="210">
        <f t="shared" si="12"/>
        <v>-44.38</v>
      </c>
    </row>
    <row r="118" spans="1:7" ht="12.75">
      <c r="A118" s="216">
        <v>4</v>
      </c>
      <c r="B118" s="210">
        <v>0.52</v>
      </c>
      <c r="C118" s="210">
        <v>0</v>
      </c>
      <c r="D118" s="210">
        <v>17.4</v>
      </c>
      <c r="E118" s="210">
        <f t="shared" si="10"/>
        <v>9.04</v>
      </c>
      <c r="F118" s="210">
        <f t="shared" si="11"/>
        <v>0</v>
      </c>
      <c r="G118" s="210">
        <f t="shared" si="12"/>
        <v>-35.34</v>
      </c>
    </row>
    <row r="119" spans="1:7" ht="12.75">
      <c r="A119" s="216">
        <v>5</v>
      </c>
      <c r="B119" s="210">
        <v>0.68</v>
      </c>
      <c r="C119" s="210">
        <v>0</v>
      </c>
      <c r="D119" s="210">
        <v>20</v>
      </c>
      <c r="E119" s="210">
        <f t="shared" si="10"/>
        <v>13.6</v>
      </c>
      <c r="F119" s="210">
        <f t="shared" si="11"/>
        <v>0</v>
      </c>
      <c r="G119" s="210">
        <f t="shared" si="12"/>
        <v>-21.74</v>
      </c>
    </row>
    <row r="120" spans="1:7" ht="12.75">
      <c r="A120" s="216">
        <v>6</v>
      </c>
      <c r="B120" s="210">
        <v>0.52</v>
      </c>
      <c r="C120" s="210">
        <v>0</v>
      </c>
      <c r="D120" s="210">
        <v>20</v>
      </c>
      <c r="E120" s="210">
        <f t="shared" si="10"/>
        <v>10.4</v>
      </c>
      <c r="F120" s="210">
        <f t="shared" si="11"/>
        <v>0</v>
      </c>
      <c r="G120" s="210">
        <f t="shared" si="12"/>
        <v>-11.34</v>
      </c>
    </row>
    <row r="121" spans="1:7" ht="12.75">
      <c r="A121" s="216">
        <v>7</v>
      </c>
      <c r="B121" s="210">
        <v>0.46</v>
      </c>
      <c r="C121" s="210">
        <v>0</v>
      </c>
      <c r="D121" s="210">
        <v>20</v>
      </c>
      <c r="E121" s="210">
        <f t="shared" si="10"/>
        <v>9.2</v>
      </c>
      <c r="F121" s="210">
        <f t="shared" si="11"/>
        <v>0</v>
      </c>
      <c r="G121" s="210">
        <f t="shared" si="12"/>
        <v>-2.14</v>
      </c>
    </row>
    <row r="122" spans="1:7" ht="12.75">
      <c r="A122" s="216" t="s">
        <v>531</v>
      </c>
      <c r="B122" s="210">
        <v>0.1</v>
      </c>
      <c r="C122" s="210">
        <v>0</v>
      </c>
      <c r="D122" s="210">
        <v>8.3</v>
      </c>
      <c r="E122" s="210">
        <f t="shared" si="10"/>
        <v>0.83</v>
      </c>
      <c r="F122" s="210">
        <f t="shared" si="11"/>
        <v>0</v>
      </c>
      <c r="G122" s="210">
        <f t="shared" si="12"/>
        <v>-1.31</v>
      </c>
    </row>
    <row r="123" spans="1:7" ht="12.75">
      <c r="A123" s="216">
        <v>8</v>
      </c>
      <c r="B123" s="210">
        <v>0</v>
      </c>
      <c r="C123" s="210">
        <v>0.13</v>
      </c>
      <c r="D123" s="210">
        <v>11.7</v>
      </c>
      <c r="E123" s="210">
        <f t="shared" si="10"/>
        <v>0</v>
      </c>
      <c r="F123" s="210">
        <f t="shared" si="11"/>
        <v>1.52</v>
      </c>
      <c r="G123" s="210">
        <f t="shared" si="12"/>
        <v>-2.83</v>
      </c>
    </row>
    <row r="124" spans="1:7" ht="12.75">
      <c r="A124" s="216">
        <v>9</v>
      </c>
      <c r="B124" s="210">
        <v>0</v>
      </c>
      <c r="C124" s="210">
        <v>0.13</v>
      </c>
      <c r="D124" s="210">
        <v>18</v>
      </c>
      <c r="E124" s="210">
        <f t="shared" si="10"/>
        <v>0</v>
      </c>
      <c r="F124" s="210">
        <f t="shared" si="11"/>
        <v>2.34</v>
      </c>
      <c r="G124" s="210">
        <f t="shared" si="12"/>
        <v>-5.17</v>
      </c>
    </row>
    <row r="125" spans="1:7" ht="12.75">
      <c r="A125" s="288" t="s">
        <v>532</v>
      </c>
      <c r="B125" s="288"/>
      <c r="C125" s="288"/>
      <c r="D125" s="288"/>
      <c r="E125" s="288"/>
      <c r="F125" s="288"/>
      <c r="G125" s="288"/>
    </row>
    <row r="126" spans="1:7" ht="12.75">
      <c r="A126" s="216">
        <v>10</v>
      </c>
      <c r="B126" s="210">
        <v>0</v>
      </c>
      <c r="C126" s="210">
        <v>0</v>
      </c>
      <c r="D126" s="210">
        <v>0</v>
      </c>
      <c r="E126" s="210">
        <f t="shared" si="10"/>
        <v>0</v>
      </c>
      <c r="F126" s="210">
        <f t="shared" si="11"/>
        <v>0</v>
      </c>
      <c r="G126" s="210">
        <v>-5.17</v>
      </c>
    </row>
    <row r="127" spans="1:7" ht="12.75">
      <c r="A127" s="216">
        <v>11</v>
      </c>
      <c r="B127" s="210">
        <v>1.28</v>
      </c>
      <c r="C127" s="210">
        <v>0</v>
      </c>
      <c r="D127" s="210">
        <v>25</v>
      </c>
      <c r="E127" s="210">
        <f t="shared" si="10"/>
        <v>32</v>
      </c>
      <c r="F127" s="210">
        <f t="shared" si="11"/>
        <v>0</v>
      </c>
      <c r="G127" s="210">
        <f t="shared" si="12"/>
        <v>26.83</v>
      </c>
    </row>
    <row r="128" spans="1:7" ht="12.75">
      <c r="A128" s="216">
        <v>12</v>
      </c>
      <c r="B128" s="210">
        <v>2.19</v>
      </c>
      <c r="C128" s="210">
        <v>0</v>
      </c>
      <c r="D128" s="210">
        <v>25</v>
      </c>
      <c r="E128" s="210">
        <f t="shared" si="10"/>
        <v>54.75</v>
      </c>
      <c r="F128" s="210">
        <f t="shared" si="11"/>
        <v>0</v>
      </c>
      <c r="G128" s="210">
        <f t="shared" si="12"/>
        <v>81.58</v>
      </c>
    </row>
    <row r="129" spans="1:7" ht="12.75">
      <c r="A129" s="216">
        <v>13</v>
      </c>
      <c r="B129" s="210">
        <v>3.3</v>
      </c>
      <c r="C129" s="210">
        <v>0</v>
      </c>
      <c r="D129" s="210">
        <v>25</v>
      </c>
      <c r="E129" s="210">
        <f t="shared" si="10"/>
        <v>82.5</v>
      </c>
      <c r="F129" s="210">
        <f t="shared" si="11"/>
        <v>0</v>
      </c>
      <c r="G129" s="210">
        <f t="shared" si="12"/>
        <v>164.08</v>
      </c>
    </row>
    <row r="130" spans="1:7" ht="12.75">
      <c r="A130" s="216">
        <v>14</v>
      </c>
      <c r="B130" s="210">
        <v>6.06</v>
      </c>
      <c r="C130" s="210">
        <v>0</v>
      </c>
      <c r="D130" s="210">
        <v>25</v>
      </c>
      <c r="E130" s="210">
        <f t="shared" si="10"/>
        <v>151.5</v>
      </c>
      <c r="F130" s="210">
        <f t="shared" si="11"/>
        <v>0</v>
      </c>
      <c r="G130" s="210">
        <f t="shared" si="12"/>
        <v>315.58</v>
      </c>
    </row>
    <row r="131" spans="1:7" ht="12.75">
      <c r="A131" s="216">
        <v>15</v>
      </c>
      <c r="B131" s="210">
        <v>5.67</v>
      </c>
      <c r="C131" s="210">
        <v>0</v>
      </c>
      <c r="D131" s="210">
        <v>25</v>
      </c>
      <c r="E131" s="210">
        <f t="shared" si="10"/>
        <v>141.75</v>
      </c>
      <c r="F131" s="210">
        <f t="shared" si="11"/>
        <v>0</v>
      </c>
      <c r="G131" s="210">
        <f t="shared" si="12"/>
        <v>457.33</v>
      </c>
    </row>
    <row r="132" spans="1:7" ht="12.75">
      <c r="A132" s="216">
        <v>16</v>
      </c>
      <c r="B132" s="210">
        <v>4.45</v>
      </c>
      <c r="C132" s="210">
        <v>0</v>
      </c>
      <c r="D132" s="210">
        <v>25</v>
      </c>
      <c r="E132" s="210">
        <f t="shared" si="10"/>
        <v>111.25</v>
      </c>
      <c r="F132" s="210">
        <f t="shared" si="11"/>
        <v>0</v>
      </c>
      <c r="G132" s="210">
        <f t="shared" si="12"/>
        <v>568.58</v>
      </c>
    </row>
    <row r="133" spans="1:7" ht="12.75">
      <c r="A133" s="216">
        <v>17</v>
      </c>
      <c r="B133" s="210">
        <v>2.35</v>
      </c>
      <c r="C133" s="210">
        <v>0</v>
      </c>
      <c r="D133" s="210">
        <v>21.75</v>
      </c>
      <c r="E133" s="210">
        <f t="shared" si="10"/>
        <v>51.11</v>
      </c>
      <c r="F133" s="210">
        <f t="shared" si="11"/>
        <v>0</v>
      </c>
      <c r="G133" s="210">
        <f t="shared" si="12"/>
        <v>619.69</v>
      </c>
    </row>
    <row r="134" spans="1:7" ht="12.75">
      <c r="A134" s="288" t="s">
        <v>533</v>
      </c>
      <c r="B134" s="288"/>
      <c r="C134" s="288"/>
      <c r="D134" s="288"/>
      <c r="E134" s="288"/>
      <c r="F134" s="288"/>
      <c r="G134" s="288"/>
    </row>
    <row r="135" spans="1:7" ht="12.75">
      <c r="A135" s="216">
        <v>0</v>
      </c>
      <c r="B135" s="210">
        <v>0</v>
      </c>
      <c r="C135" s="210">
        <v>0</v>
      </c>
      <c r="D135" s="210">
        <v>0</v>
      </c>
      <c r="E135" s="210">
        <f t="shared" si="10"/>
        <v>0</v>
      </c>
      <c r="F135" s="210">
        <f t="shared" si="11"/>
        <v>0</v>
      </c>
      <c r="G135" s="210">
        <v>0</v>
      </c>
    </row>
    <row r="136" spans="1:7" ht="12.75">
      <c r="A136" s="216">
        <v>1</v>
      </c>
      <c r="B136" s="210">
        <v>0.05</v>
      </c>
      <c r="C136" s="210">
        <v>0</v>
      </c>
      <c r="D136" s="210">
        <v>20</v>
      </c>
      <c r="E136" s="210">
        <f t="shared" si="10"/>
        <v>1</v>
      </c>
      <c r="F136" s="210">
        <f t="shared" si="11"/>
        <v>0</v>
      </c>
      <c r="G136" s="210">
        <f>E136-F136+G135</f>
        <v>1</v>
      </c>
    </row>
    <row r="137" spans="1:7" ht="12.75">
      <c r="A137" s="216" t="s">
        <v>535</v>
      </c>
      <c r="B137" s="210">
        <v>0.05</v>
      </c>
      <c r="C137" s="210">
        <v>0</v>
      </c>
      <c r="D137" s="210">
        <v>14.3</v>
      </c>
      <c r="E137" s="210">
        <f t="shared" si="10"/>
        <v>0.71</v>
      </c>
      <c r="F137" s="210">
        <f t="shared" si="11"/>
        <v>0</v>
      </c>
      <c r="G137" s="210">
        <f t="shared" si="12"/>
        <v>1.71</v>
      </c>
    </row>
    <row r="138" spans="1:7" ht="12.75">
      <c r="A138" s="216">
        <v>2</v>
      </c>
      <c r="B138" s="210">
        <v>0</v>
      </c>
      <c r="C138" s="210">
        <v>0.02</v>
      </c>
      <c r="D138" s="210">
        <v>5.7</v>
      </c>
      <c r="E138" s="210">
        <f t="shared" si="10"/>
        <v>0</v>
      </c>
      <c r="F138" s="210">
        <f t="shared" si="11"/>
        <v>0.11</v>
      </c>
      <c r="G138" s="210">
        <f t="shared" si="12"/>
        <v>1.6</v>
      </c>
    </row>
    <row r="139" spans="1:7" ht="12.75">
      <c r="A139" s="216" t="s">
        <v>536</v>
      </c>
      <c r="B139" s="210">
        <v>0</v>
      </c>
      <c r="C139" s="210">
        <v>0.02</v>
      </c>
      <c r="D139" s="210">
        <v>1.1</v>
      </c>
      <c r="E139" s="210">
        <f t="shared" si="10"/>
        <v>0</v>
      </c>
      <c r="F139" s="210">
        <f t="shared" si="11"/>
        <v>0.02</v>
      </c>
      <c r="G139" s="210">
        <f t="shared" si="12"/>
        <v>1.58</v>
      </c>
    </row>
    <row r="140" spans="1:7" ht="12.75">
      <c r="A140" s="216">
        <v>3</v>
      </c>
      <c r="B140" s="210">
        <v>0.34</v>
      </c>
      <c r="C140" s="210">
        <v>0</v>
      </c>
      <c r="D140" s="210">
        <v>18.9</v>
      </c>
      <c r="E140" s="210">
        <f t="shared" si="10"/>
        <v>6.42</v>
      </c>
      <c r="F140" s="210">
        <f t="shared" si="11"/>
        <v>0</v>
      </c>
      <c r="G140" s="210">
        <f t="shared" si="12"/>
        <v>8</v>
      </c>
    </row>
    <row r="141" spans="1:7" ht="12.75">
      <c r="A141" s="215"/>
      <c r="G141" s="197"/>
    </row>
    <row r="142" spans="1:7" ht="12.75">
      <c r="A142" s="215"/>
      <c r="G142" s="197"/>
    </row>
    <row r="143" spans="1:7" ht="12.75">
      <c r="A143" s="215"/>
      <c r="G143" s="197"/>
    </row>
    <row r="144" spans="1:7" ht="12.75">
      <c r="A144" s="215"/>
      <c r="G144" s="197"/>
    </row>
    <row r="145" spans="1:7" ht="12.75">
      <c r="A145" s="215"/>
      <c r="G145" s="197"/>
    </row>
    <row r="146" spans="1:7" ht="12.75">
      <c r="A146" s="215"/>
      <c r="G146" s="197"/>
    </row>
    <row r="147" spans="1:7" ht="12.75">
      <c r="A147" s="215"/>
      <c r="G147" s="197"/>
    </row>
    <row r="148" spans="1:7" ht="12.75">
      <c r="A148" s="215"/>
      <c r="G148" s="197"/>
    </row>
    <row r="149" spans="1:7" ht="12.75">
      <c r="A149" s="215"/>
      <c r="G149" s="197"/>
    </row>
    <row r="150" spans="1:7" ht="12.75">
      <c r="A150" s="215"/>
      <c r="G150" s="197"/>
    </row>
    <row r="151" spans="1:7" ht="12.75">
      <c r="A151" s="215"/>
      <c r="G151" s="197"/>
    </row>
    <row r="152" spans="1:7" ht="12.75">
      <c r="A152" s="215"/>
      <c r="G152" s="197"/>
    </row>
    <row r="153" spans="1:7" ht="12.75">
      <c r="A153" s="215"/>
      <c r="G153" s="197"/>
    </row>
    <row r="154" spans="1:7" ht="12.75">
      <c r="A154" s="215"/>
      <c r="G154" s="197"/>
    </row>
    <row r="155" spans="1:7" ht="12.75">
      <c r="A155" s="215"/>
      <c r="G155" s="197"/>
    </row>
    <row r="156" spans="1:7" ht="12.75">
      <c r="A156" s="215"/>
      <c r="G156" s="197"/>
    </row>
    <row r="157" spans="1:7" ht="12.75">
      <c r="A157" s="215"/>
      <c r="G157" s="197"/>
    </row>
    <row r="158" spans="1:7" ht="12.75">
      <c r="A158" s="215"/>
      <c r="G158" s="197"/>
    </row>
    <row r="159" spans="1:7" ht="12.75">
      <c r="A159" s="215"/>
      <c r="G159" s="197"/>
    </row>
    <row r="160" spans="1:7" ht="12.75">
      <c r="A160" s="215"/>
      <c r="G160" s="197"/>
    </row>
    <row r="161" spans="1:7" ht="12.75">
      <c r="A161" s="215"/>
      <c r="G161" s="197"/>
    </row>
    <row r="162" spans="1:7" ht="12.75">
      <c r="A162" s="215"/>
      <c r="G162" s="197"/>
    </row>
    <row r="163" spans="1:7" ht="12.75">
      <c r="A163" s="215"/>
      <c r="G163" s="197"/>
    </row>
    <row r="164" spans="1:7" ht="12.75">
      <c r="A164" s="215"/>
      <c r="G164" s="197"/>
    </row>
    <row r="165" spans="1:7" ht="12.75">
      <c r="A165" s="215"/>
      <c r="G165" s="197"/>
    </row>
    <row r="166" spans="1:7" ht="12.75">
      <c r="A166" s="215"/>
      <c r="G166" s="197"/>
    </row>
    <row r="167" spans="1:7" ht="12.75">
      <c r="A167" s="215"/>
      <c r="G167" s="197"/>
    </row>
    <row r="168" spans="1:7" ht="12.75">
      <c r="A168" s="215"/>
      <c r="G168" s="197"/>
    </row>
    <row r="169" spans="1:7" ht="12.75">
      <c r="A169" s="215"/>
      <c r="G169" s="197"/>
    </row>
    <row r="170" spans="1:7" ht="12.75">
      <c r="A170" s="215"/>
      <c r="G170" s="197"/>
    </row>
    <row r="171" spans="1:7" ht="12.75">
      <c r="A171" s="215"/>
      <c r="G171" s="197"/>
    </row>
    <row r="172" ht="12.75">
      <c r="A172" s="215"/>
    </row>
    <row r="173" ht="12.75">
      <c r="A173" s="215"/>
    </row>
    <row r="174" ht="12.75">
      <c r="A174" s="215"/>
    </row>
    <row r="175" ht="12.75">
      <c r="A175" s="215"/>
    </row>
    <row r="176" ht="12.75">
      <c r="A176" s="215"/>
    </row>
    <row r="177" ht="12.75">
      <c r="A177" s="215"/>
    </row>
    <row r="178" ht="12.75">
      <c r="A178" s="215"/>
    </row>
    <row r="179" ht="12.75">
      <c r="A179" s="215"/>
    </row>
    <row r="180" ht="12.75">
      <c r="A180" s="215"/>
    </row>
    <row r="181" ht="12.75">
      <c r="A181" s="215"/>
    </row>
    <row r="182" ht="12.75">
      <c r="A182" s="215"/>
    </row>
    <row r="183" ht="12.75">
      <c r="A183" s="215"/>
    </row>
    <row r="184" ht="12.75">
      <c r="A184" s="215"/>
    </row>
    <row r="185" ht="12.75">
      <c r="A185" s="215"/>
    </row>
    <row r="186" ht="12.75">
      <c r="A186" s="215"/>
    </row>
    <row r="187" ht="12.75">
      <c r="A187" s="215"/>
    </row>
    <row r="188" ht="12.75">
      <c r="A188" s="215"/>
    </row>
    <row r="189" ht="12.75">
      <c r="A189" s="215"/>
    </row>
    <row r="190" ht="12.75">
      <c r="A190" s="215"/>
    </row>
    <row r="191" ht="12.75">
      <c r="A191" s="215"/>
    </row>
    <row r="192" ht="12.75">
      <c r="A192" s="215"/>
    </row>
    <row r="193" ht="12.75">
      <c r="A193" s="215"/>
    </row>
    <row r="194" ht="12.75">
      <c r="A194" s="215"/>
    </row>
    <row r="195" ht="12.75">
      <c r="A195" s="215"/>
    </row>
    <row r="196" ht="12.75">
      <c r="A196" s="215"/>
    </row>
    <row r="197" ht="12.75">
      <c r="A197" s="215"/>
    </row>
    <row r="198" ht="12.75">
      <c r="A198" s="215"/>
    </row>
    <row r="199" ht="12.75">
      <c r="A199" s="215"/>
    </row>
    <row r="200" ht="12.75">
      <c r="A200" s="215"/>
    </row>
    <row r="201" ht="12.75">
      <c r="A201" s="215"/>
    </row>
    <row r="202" ht="12.75">
      <c r="A202" s="215"/>
    </row>
    <row r="203" ht="12.75">
      <c r="A203" s="215"/>
    </row>
    <row r="204" ht="12.75">
      <c r="A204" s="215"/>
    </row>
    <row r="205" ht="12.75">
      <c r="A205" s="215"/>
    </row>
    <row r="206" ht="12.75">
      <c r="A206" s="215"/>
    </row>
    <row r="207" ht="12.75">
      <c r="A207" s="215"/>
    </row>
    <row r="208" ht="12.75">
      <c r="A208" s="215"/>
    </row>
    <row r="209" ht="12.75">
      <c r="A209" s="215"/>
    </row>
    <row r="210" ht="12.75">
      <c r="A210" s="215"/>
    </row>
    <row r="211" ht="12.75">
      <c r="A211" s="215"/>
    </row>
    <row r="212" ht="12.75">
      <c r="A212" s="215"/>
    </row>
    <row r="213" ht="12.75">
      <c r="A213" s="215"/>
    </row>
    <row r="214" ht="12.75">
      <c r="A214" s="215"/>
    </row>
    <row r="215" ht="12.75">
      <c r="A215" s="215"/>
    </row>
    <row r="216" ht="12.75">
      <c r="A216" s="215"/>
    </row>
    <row r="217" ht="12.75">
      <c r="A217" s="215"/>
    </row>
    <row r="218" ht="12.75">
      <c r="A218" s="215"/>
    </row>
    <row r="219" ht="12.75">
      <c r="A219" s="215"/>
    </row>
    <row r="220" ht="12.75">
      <c r="A220" s="215"/>
    </row>
    <row r="221" ht="12.75">
      <c r="A221" s="215"/>
    </row>
    <row r="222" ht="12.75">
      <c r="A222" s="215"/>
    </row>
    <row r="223" ht="12.75">
      <c r="A223" s="215"/>
    </row>
    <row r="224" ht="12.75">
      <c r="A224" s="215"/>
    </row>
    <row r="225" ht="12.75">
      <c r="A225" s="215"/>
    </row>
    <row r="226" ht="12.75">
      <c r="A226" s="215"/>
    </row>
    <row r="227" ht="12.75">
      <c r="A227" s="215"/>
    </row>
    <row r="228" ht="12.75">
      <c r="A228" s="215"/>
    </row>
    <row r="229" ht="12.75">
      <c r="A229" s="215"/>
    </row>
  </sheetData>
  <sheetProtection/>
  <mergeCells count="25">
    <mergeCell ref="G9:G10"/>
    <mergeCell ref="A1:G1"/>
    <mergeCell ref="A2:G2"/>
    <mergeCell ref="A3:G3"/>
    <mergeCell ref="A4:B4"/>
    <mergeCell ref="C4:D4"/>
    <mergeCell ref="A15:G15"/>
    <mergeCell ref="E4:G4"/>
    <mergeCell ref="A5:G5"/>
    <mergeCell ref="A6:G7"/>
    <mergeCell ref="B9:C9"/>
    <mergeCell ref="A125:G125"/>
    <mergeCell ref="A8:G8"/>
    <mergeCell ref="A9:A11"/>
    <mergeCell ref="E9:F9"/>
    <mergeCell ref="D9:D10"/>
    <mergeCell ref="A134:G134"/>
    <mergeCell ref="A19:G19"/>
    <mergeCell ref="A26:G26"/>
    <mergeCell ref="A74:G74"/>
    <mergeCell ref="A103:G103"/>
    <mergeCell ref="A112:G112"/>
    <mergeCell ref="A36:G36"/>
    <mergeCell ref="A48:G48"/>
    <mergeCell ref="A57:G57"/>
  </mergeCells>
  <printOptions/>
  <pageMargins left="0.7874015748031497" right="0.3937007874015748" top="1.7716535433070868" bottom="0.7874015748031497" header="0.5905511811023623" footer="0.3937007874015748"/>
  <pageSetup horizontalDpi="600" verticalDpi="600" orientation="portrait" paperSize="9" scale="85" r:id="rId2"/>
  <headerFooter>
    <oddHeader>&amp;L&amp;G&amp;C
&amp;"Arial,Negrito"&amp;14PREFEITURA DE SETE QUEDAS&amp;12
ESTADO DE MATO GROSSO DO SUL</oddHeader>
    <oddFooter>&amp;C&amp;A&amp;RPágina &amp;P de &amp;N</oddFooter>
  </headerFooter>
  <ignoredErrors>
    <ignoredError sqref="E23:F23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workbookViewId="0" topLeftCell="A1">
      <selection activeCell="D18" sqref="D18"/>
    </sheetView>
  </sheetViews>
  <sheetFormatPr defaultColWidth="9.140625" defaultRowHeight="12.75"/>
  <cols>
    <col min="1" max="1" width="12.7109375" style="115" customWidth="1"/>
    <col min="2" max="2" width="10.7109375" style="115" customWidth="1"/>
    <col min="3" max="3" width="8.7109375" style="115" customWidth="1"/>
    <col min="4" max="4" width="15.57421875" style="115" bestFit="1" customWidth="1"/>
    <col min="5" max="5" width="19.421875" style="115" bestFit="1" customWidth="1"/>
    <col min="6" max="6" width="17.7109375" style="115" bestFit="1" customWidth="1"/>
    <col min="7" max="7" width="18.7109375" style="115" customWidth="1"/>
    <col min="8" max="16384" width="9.140625" style="115" customWidth="1"/>
  </cols>
  <sheetData>
    <row r="1" spans="1:16" ht="12.75">
      <c r="A1" s="293" t="s">
        <v>185</v>
      </c>
      <c r="B1" s="293"/>
      <c r="C1" s="293"/>
      <c r="D1" s="293"/>
      <c r="E1" s="293"/>
      <c r="F1" s="293"/>
      <c r="G1" s="293"/>
      <c r="H1" s="130"/>
      <c r="I1" s="130"/>
      <c r="J1" s="130"/>
      <c r="K1" s="130"/>
      <c r="L1" s="129"/>
      <c r="M1" s="129"/>
      <c r="N1" s="129"/>
      <c r="O1" s="129"/>
      <c r="P1" s="129"/>
    </row>
    <row r="2" spans="1:16" ht="25.5" customHeight="1">
      <c r="A2" s="295" t="e">
        <f>#REF!</f>
        <v>#REF!</v>
      </c>
      <c r="B2" s="295"/>
      <c r="C2" s="295"/>
      <c r="D2" s="295"/>
      <c r="E2" s="295"/>
      <c r="F2" s="295"/>
      <c r="G2" s="295"/>
      <c r="H2" s="2"/>
      <c r="I2" s="2"/>
      <c r="J2" s="2"/>
      <c r="K2" s="2"/>
      <c r="L2" s="52"/>
      <c r="M2" s="52"/>
      <c r="N2" s="52"/>
      <c r="O2" s="52"/>
      <c r="P2" s="52"/>
    </row>
    <row r="3" spans="1:16" ht="12.75">
      <c r="A3" s="293" t="s">
        <v>476</v>
      </c>
      <c r="B3" s="293"/>
      <c r="C3" s="293"/>
      <c r="D3" s="293"/>
      <c r="E3" s="293"/>
      <c r="F3" s="293"/>
      <c r="G3" s="293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12.75">
      <c r="A4" s="293" t="s">
        <v>184</v>
      </c>
      <c r="B4" s="293"/>
      <c r="C4" s="194">
        <f>G48</f>
        <v>0</v>
      </c>
      <c r="D4" s="292" t="s">
        <v>11</v>
      </c>
      <c r="E4" s="292"/>
      <c r="F4" s="292"/>
      <c r="G4" s="292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12.75">
      <c r="A5" s="293" t="s">
        <v>481</v>
      </c>
      <c r="B5" s="293"/>
      <c r="C5" s="293"/>
      <c r="D5" s="293"/>
      <c r="E5" s="293"/>
      <c r="F5" s="293"/>
      <c r="G5" s="293"/>
      <c r="H5" s="130"/>
      <c r="I5" s="130"/>
      <c r="J5" s="130"/>
      <c r="K5" s="130"/>
      <c r="L5" s="131"/>
      <c r="M5" s="131"/>
      <c r="N5" s="131"/>
      <c r="O5" s="131"/>
      <c r="P5" s="131"/>
    </row>
    <row r="6" spans="1:16" ht="12.75">
      <c r="A6" s="294" t="s">
        <v>173</v>
      </c>
      <c r="B6" s="294"/>
      <c r="C6" s="294"/>
      <c r="D6" s="294"/>
      <c r="E6" s="294"/>
      <c r="F6" s="294"/>
      <c r="G6" s="294"/>
      <c r="H6" s="131"/>
      <c r="I6" s="131"/>
      <c r="J6" s="131"/>
      <c r="K6" s="131"/>
      <c r="L6" s="131"/>
      <c r="M6" s="131"/>
      <c r="N6" s="131"/>
      <c r="O6" s="131"/>
      <c r="P6" s="131"/>
    </row>
    <row r="7" spans="1:16" ht="12.75">
      <c r="A7" s="294"/>
      <c r="B7" s="294"/>
      <c r="C7" s="294"/>
      <c r="D7" s="294"/>
      <c r="E7" s="294"/>
      <c r="F7" s="294"/>
      <c r="G7" s="294"/>
      <c r="H7" s="131"/>
      <c r="I7" s="131"/>
      <c r="J7" s="131"/>
      <c r="K7" s="131"/>
      <c r="L7" s="131"/>
      <c r="M7" s="131"/>
      <c r="N7" s="131"/>
      <c r="O7" s="131"/>
      <c r="P7" s="131"/>
    </row>
    <row r="8" spans="1:7" ht="12.75">
      <c r="A8" s="326" t="s">
        <v>174</v>
      </c>
      <c r="B8" s="326"/>
      <c r="C8" s="326"/>
      <c r="D8" s="326"/>
      <c r="E8" s="326"/>
      <c r="F8" s="326"/>
      <c r="G8" s="326"/>
    </row>
    <row r="9" spans="1:7" ht="12.75">
      <c r="A9" s="302" t="s">
        <v>91</v>
      </c>
      <c r="B9" s="303"/>
      <c r="C9" s="304"/>
      <c r="D9" s="300" t="s">
        <v>204</v>
      </c>
      <c r="E9" s="300"/>
      <c r="F9" s="300"/>
      <c r="G9" s="300"/>
    </row>
    <row r="10" spans="1:7" ht="12.75" customHeight="1">
      <c r="A10" s="305"/>
      <c r="B10" s="306"/>
      <c r="C10" s="307"/>
      <c r="D10" s="98" t="s">
        <v>92</v>
      </c>
      <c r="E10" s="98" t="s">
        <v>93</v>
      </c>
      <c r="F10" s="98" t="s">
        <v>136</v>
      </c>
      <c r="G10" s="98" t="s">
        <v>144</v>
      </c>
    </row>
    <row r="11" spans="1:7" ht="12.75">
      <c r="A11" s="308"/>
      <c r="B11" s="309"/>
      <c r="C11" s="310"/>
      <c r="D11" s="98" t="s">
        <v>175</v>
      </c>
      <c r="E11" s="98" t="s">
        <v>10</v>
      </c>
      <c r="F11" s="98" t="s">
        <v>10</v>
      </c>
      <c r="G11" s="98" t="s">
        <v>11</v>
      </c>
    </row>
    <row r="12" spans="1:7" ht="12.75">
      <c r="A12" s="298" t="e">
        <f>#REF!</f>
        <v>#REF!</v>
      </c>
      <c r="B12" s="299"/>
      <c r="C12" s="299"/>
      <c r="D12" s="42">
        <v>0</v>
      </c>
      <c r="E12" s="42">
        <v>2</v>
      </c>
      <c r="F12" s="99">
        <v>0.1</v>
      </c>
      <c r="G12" s="99">
        <f aca="true" t="shared" si="0" ref="G12:G30">D12*E12*F12</f>
        <v>0</v>
      </c>
    </row>
    <row r="13" spans="1:7" ht="12.75">
      <c r="A13" s="298" t="e">
        <f>#REF!</f>
        <v>#REF!</v>
      </c>
      <c r="B13" s="299"/>
      <c r="C13" s="299"/>
      <c r="D13" s="42">
        <v>0</v>
      </c>
      <c r="E13" s="42">
        <f>E12</f>
        <v>2</v>
      </c>
      <c r="F13" s="99">
        <f>F12</f>
        <v>0.1</v>
      </c>
      <c r="G13" s="99">
        <f t="shared" si="0"/>
        <v>0</v>
      </c>
    </row>
    <row r="14" spans="1:7" ht="12.75">
      <c r="A14" s="298" t="e">
        <f>#REF!</f>
        <v>#REF!</v>
      </c>
      <c r="B14" s="299"/>
      <c r="C14" s="299"/>
      <c r="D14" s="42">
        <v>0</v>
      </c>
      <c r="E14" s="42">
        <v>2</v>
      </c>
      <c r="F14" s="99">
        <f aca="true" t="shared" si="1" ref="F14:F22">F13</f>
        <v>0.1</v>
      </c>
      <c r="G14" s="99">
        <f t="shared" si="0"/>
        <v>0</v>
      </c>
    </row>
    <row r="15" spans="1:7" ht="12.75">
      <c r="A15" s="298" t="e">
        <f>#REF!</f>
        <v>#REF!</v>
      </c>
      <c r="B15" s="299"/>
      <c r="C15" s="299"/>
      <c r="D15" s="42">
        <v>0</v>
      </c>
      <c r="E15" s="42">
        <v>2</v>
      </c>
      <c r="F15" s="99">
        <f t="shared" si="1"/>
        <v>0.1</v>
      </c>
      <c r="G15" s="99">
        <f t="shared" si="0"/>
        <v>0</v>
      </c>
    </row>
    <row r="16" spans="1:7" ht="12.75">
      <c r="A16" s="298" t="e">
        <f>#REF!</f>
        <v>#REF!</v>
      </c>
      <c r="B16" s="299"/>
      <c r="C16" s="299"/>
      <c r="D16" s="42">
        <v>0</v>
      </c>
      <c r="E16" s="42">
        <v>2</v>
      </c>
      <c r="F16" s="99">
        <f t="shared" si="1"/>
        <v>0.1</v>
      </c>
      <c r="G16" s="99">
        <f t="shared" si="0"/>
        <v>0</v>
      </c>
    </row>
    <row r="17" spans="1:7" ht="12.75">
      <c r="A17" s="298" t="e">
        <f>#REF!</f>
        <v>#REF!</v>
      </c>
      <c r="B17" s="299"/>
      <c r="C17" s="299"/>
      <c r="D17" s="42">
        <v>0</v>
      </c>
      <c r="E17" s="42">
        <v>2</v>
      </c>
      <c r="F17" s="99">
        <f t="shared" si="1"/>
        <v>0.1</v>
      </c>
      <c r="G17" s="99">
        <f t="shared" si="0"/>
        <v>0</v>
      </c>
    </row>
    <row r="18" spans="1:7" ht="12.75">
      <c r="A18" s="298" t="e">
        <f>#REF!</f>
        <v>#REF!</v>
      </c>
      <c r="B18" s="299"/>
      <c r="C18" s="299"/>
      <c r="D18" s="42">
        <v>0</v>
      </c>
      <c r="E18" s="42">
        <v>2</v>
      </c>
      <c r="F18" s="99">
        <f t="shared" si="1"/>
        <v>0.1</v>
      </c>
      <c r="G18" s="99">
        <f t="shared" si="0"/>
        <v>0</v>
      </c>
    </row>
    <row r="19" spans="1:7" ht="12.75">
      <c r="A19" s="298" t="e">
        <f>#REF!</f>
        <v>#REF!</v>
      </c>
      <c r="B19" s="299"/>
      <c r="C19" s="299"/>
      <c r="D19" s="42">
        <v>0</v>
      </c>
      <c r="E19" s="42">
        <v>2</v>
      </c>
      <c r="F19" s="99">
        <f t="shared" si="1"/>
        <v>0.1</v>
      </c>
      <c r="G19" s="99">
        <f t="shared" si="0"/>
        <v>0</v>
      </c>
    </row>
    <row r="20" spans="1:7" ht="12.75">
      <c r="A20" s="298" t="e">
        <f>#REF!</f>
        <v>#REF!</v>
      </c>
      <c r="B20" s="299"/>
      <c r="C20" s="299"/>
      <c r="D20" s="42">
        <v>0</v>
      </c>
      <c r="E20" s="42">
        <v>2</v>
      </c>
      <c r="F20" s="99">
        <f t="shared" si="1"/>
        <v>0.1</v>
      </c>
      <c r="G20" s="99">
        <f t="shared" si="0"/>
        <v>0</v>
      </c>
    </row>
    <row r="21" spans="1:7" ht="12.75">
      <c r="A21" s="298" t="e">
        <f>#REF!</f>
        <v>#REF!</v>
      </c>
      <c r="B21" s="299"/>
      <c r="C21" s="299"/>
      <c r="D21" s="42">
        <v>0</v>
      </c>
      <c r="E21" s="42">
        <v>2</v>
      </c>
      <c r="F21" s="99">
        <f t="shared" si="1"/>
        <v>0.1</v>
      </c>
      <c r="G21" s="99">
        <f t="shared" si="0"/>
        <v>0</v>
      </c>
    </row>
    <row r="22" spans="1:7" ht="12.75" customHeight="1">
      <c r="A22" s="298" t="e">
        <f>#REF!</f>
        <v>#REF!</v>
      </c>
      <c r="B22" s="299"/>
      <c r="C22" s="299"/>
      <c r="D22" s="42">
        <v>0</v>
      </c>
      <c r="E22" s="42">
        <v>2</v>
      </c>
      <c r="F22" s="99">
        <f t="shared" si="1"/>
        <v>0.1</v>
      </c>
      <c r="G22" s="99">
        <f t="shared" si="0"/>
        <v>0</v>
      </c>
    </row>
    <row r="23" spans="1:7" ht="12.75" customHeight="1">
      <c r="A23" s="302" t="s">
        <v>91</v>
      </c>
      <c r="B23" s="303"/>
      <c r="C23" s="304"/>
      <c r="D23" s="300" t="s">
        <v>205</v>
      </c>
      <c r="E23" s="300"/>
      <c r="F23" s="300"/>
      <c r="G23" s="300"/>
    </row>
    <row r="24" spans="1:7" ht="12.75" customHeight="1">
      <c r="A24" s="305"/>
      <c r="B24" s="306"/>
      <c r="C24" s="307"/>
      <c r="D24" s="98" t="s">
        <v>92</v>
      </c>
      <c r="E24" s="98" t="s">
        <v>93</v>
      </c>
      <c r="F24" s="98" t="s">
        <v>136</v>
      </c>
      <c r="G24" s="98" t="s">
        <v>144</v>
      </c>
    </row>
    <row r="25" spans="1:7" ht="12.75" customHeight="1">
      <c r="A25" s="308"/>
      <c r="B25" s="309"/>
      <c r="C25" s="310"/>
      <c r="D25" s="98" t="s">
        <v>175</v>
      </c>
      <c r="E25" s="98" t="s">
        <v>10</v>
      </c>
      <c r="F25" s="98" t="s">
        <v>10</v>
      </c>
      <c r="G25" s="98" t="s">
        <v>11</v>
      </c>
    </row>
    <row r="26" spans="1:7" ht="12.75">
      <c r="A26" s="314" t="e">
        <f>A12</f>
        <v>#REF!</v>
      </c>
      <c r="B26" s="315"/>
      <c r="C26" s="316"/>
      <c r="D26" s="42">
        <v>0</v>
      </c>
      <c r="E26" s="42">
        <v>15</v>
      </c>
      <c r="F26" s="99">
        <v>0.1</v>
      </c>
      <c r="G26" s="99">
        <f t="shared" si="0"/>
        <v>0</v>
      </c>
    </row>
    <row r="27" spans="1:7" ht="12.75">
      <c r="A27" s="317" t="e">
        <f>A13</f>
        <v>#REF!</v>
      </c>
      <c r="B27" s="318"/>
      <c r="C27" s="319"/>
      <c r="D27" s="42">
        <v>0</v>
      </c>
      <c r="E27" s="42">
        <v>15</v>
      </c>
      <c r="F27" s="99">
        <f>F26</f>
        <v>0.1</v>
      </c>
      <c r="G27" s="99">
        <f t="shared" si="0"/>
        <v>0</v>
      </c>
    </row>
    <row r="28" spans="1:7" ht="12.75">
      <c r="A28" s="320"/>
      <c r="B28" s="321"/>
      <c r="C28" s="322"/>
      <c r="D28" s="42">
        <v>0</v>
      </c>
      <c r="E28" s="42">
        <v>7</v>
      </c>
      <c r="F28" s="99">
        <f>F27</f>
        <v>0.1</v>
      </c>
      <c r="G28" s="99">
        <f t="shared" si="0"/>
        <v>0</v>
      </c>
    </row>
    <row r="29" spans="1:7" ht="13.5" customHeight="1">
      <c r="A29" s="317" t="e">
        <f>A22</f>
        <v>#REF!</v>
      </c>
      <c r="B29" s="318"/>
      <c r="C29" s="319"/>
      <c r="D29" s="42">
        <v>0</v>
      </c>
      <c r="E29" s="42">
        <v>15</v>
      </c>
      <c r="F29" s="99">
        <f>F28</f>
        <v>0.1</v>
      </c>
      <c r="G29" s="99">
        <f t="shared" si="0"/>
        <v>0</v>
      </c>
    </row>
    <row r="30" spans="1:7" ht="13.5" customHeight="1">
      <c r="A30" s="320"/>
      <c r="B30" s="321"/>
      <c r="C30" s="322"/>
      <c r="D30" s="148">
        <v>0</v>
      </c>
      <c r="E30" s="198">
        <v>7</v>
      </c>
      <c r="F30" s="99">
        <f>F29</f>
        <v>0.1</v>
      </c>
      <c r="G30" s="99">
        <f t="shared" si="0"/>
        <v>0</v>
      </c>
    </row>
    <row r="31" spans="1:7" ht="12.75" customHeight="1">
      <c r="A31" s="302" t="s">
        <v>91</v>
      </c>
      <c r="B31" s="303"/>
      <c r="C31" s="304"/>
      <c r="D31" s="311" t="s">
        <v>176</v>
      </c>
      <c r="E31" s="312"/>
      <c r="F31" s="312"/>
      <c r="G31" s="313"/>
    </row>
    <row r="32" spans="1:7" ht="12.75">
      <c r="A32" s="305"/>
      <c r="B32" s="306"/>
      <c r="C32" s="307"/>
      <c r="D32" s="98" t="s">
        <v>92</v>
      </c>
      <c r="E32" s="98" t="s">
        <v>93</v>
      </c>
      <c r="F32" s="98" t="s">
        <v>136</v>
      </c>
      <c r="G32" s="98" t="s">
        <v>144</v>
      </c>
    </row>
    <row r="33" spans="1:7" ht="12.75">
      <c r="A33" s="308"/>
      <c r="B33" s="309"/>
      <c r="C33" s="310"/>
      <c r="D33" s="98" t="s">
        <v>175</v>
      </c>
      <c r="E33" s="98" t="s">
        <v>10</v>
      </c>
      <c r="F33" s="98" t="s">
        <v>10</v>
      </c>
      <c r="G33" s="98" t="s">
        <v>11</v>
      </c>
    </row>
    <row r="34" spans="1:7" ht="12.75">
      <c r="A34" s="298" t="e">
        <f>A12</f>
        <v>#REF!</v>
      </c>
      <c r="B34" s="299"/>
      <c r="C34" s="299"/>
      <c r="D34" s="42">
        <f>D26</f>
        <v>0</v>
      </c>
      <c r="E34" s="42">
        <v>3.7</v>
      </c>
      <c r="F34" s="99">
        <v>0.4</v>
      </c>
      <c r="G34" s="99">
        <f>D34*E34*F34</f>
        <v>0</v>
      </c>
    </row>
    <row r="35" spans="1:7" ht="12.75">
      <c r="A35" s="298" t="e">
        <f>A13</f>
        <v>#REF!</v>
      </c>
      <c r="B35" s="299"/>
      <c r="C35" s="299"/>
      <c r="D35" s="42">
        <v>0</v>
      </c>
      <c r="E35" s="42">
        <v>3.7</v>
      </c>
      <c r="F35" s="99">
        <f>F34</f>
        <v>0.4</v>
      </c>
      <c r="G35" s="99">
        <f>D35*E35*F35</f>
        <v>0</v>
      </c>
    </row>
    <row r="36" spans="1:7" ht="13.5" customHeight="1">
      <c r="A36" s="298" t="e">
        <f>A22</f>
        <v>#REF!</v>
      </c>
      <c r="B36" s="299"/>
      <c r="C36" s="299"/>
      <c r="D36" s="42">
        <v>0</v>
      </c>
      <c r="E36" s="42">
        <v>3.7</v>
      </c>
      <c r="F36" s="99">
        <f>F35</f>
        <v>0.4</v>
      </c>
      <c r="G36" s="99">
        <f>D36*E36*F36</f>
        <v>0</v>
      </c>
    </row>
    <row r="37" spans="1:7" ht="12.75">
      <c r="A37" s="302" t="s">
        <v>91</v>
      </c>
      <c r="B37" s="303"/>
      <c r="C37" s="304"/>
      <c r="D37" s="300" t="s">
        <v>177</v>
      </c>
      <c r="E37" s="300"/>
      <c r="F37" s="300"/>
      <c r="G37" s="300"/>
    </row>
    <row r="38" spans="1:7" ht="12.75">
      <c r="A38" s="305"/>
      <c r="B38" s="306"/>
      <c r="C38" s="307"/>
      <c r="D38" s="300" t="s">
        <v>92</v>
      </c>
      <c r="E38" s="300"/>
      <c r="F38" s="98" t="s">
        <v>178</v>
      </c>
      <c r="G38" s="98" t="s">
        <v>144</v>
      </c>
    </row>
    <row r="39" spans="1:7" ht="12.75">
      <c r="A39" s="308"/>
      <c r="B39" s="309"/>
      <c r="C39" s="310"/>
      <c r="D39" s="300" t="s">
        <v>175</v>
      </c>
      <c r="E39" s="300"/>
      <c r="F39" s="98" t="s">
        <v>11</v>
      </c>
      <c r="G39" s="98" t="s">
        <v>11</v>
      </c>
    </row>
    <row r="40" spans="1:7" ht="12.75">
      <c r="A40" s="298" t="e">
        <f>A34</f>
        <v>#REF!</v>
      </c>
      <c r="B40" s="299"/>
      <c r="C40" s="299"/>
      <c r="D40" s="301">
        <f>D26</f>
        <v>0</v>
      </c>
      <c r="E40" s="301"/>
      <c r="F40" s="99">
        <v>3.12</v>
      </c>
      <c r="G40" s="99">
        <f>D40*F40</f>
        <v>0</v>
      </c>
    </row>
    <row r="41" spans="1:7" ht="12.75">
      <c r="A41" s="298" t="e">
        <f>A35</f>
        <v>#REF!</v>
      </c>
      <c r="B41" s="299"/>
      <c r="C41" s="299"/>
      <c r="D41" s="301">
        <v>0</v>
      </c>
      <c r="E41" s="301"/>
      <c r="F41" s="99">
        <f>F40</f>
        <v>3.12</v>
      </c>
      <c r="G41" s="99">
        <f>D41*F41</f>
        <v>0</v>
      </c>
    </row>
    <row r="42" spans="1:7" ht="12.75">
      <c r="A42" s="298" t="e">
        <f>A36</f>
        <v>#REF!</v>
      </c>
      <c r="B42" s="299"/>
      <c r="C42" s="299"/>
      <c r="D42" s="301">
        <v>0</v>
      </c>
      <c r="E42" s="301"/>
      <c r="F42" s="99">
        <f>F41</f>
        <v>3.12</v>
      </c>
      <c r="G42" s="99">
        <f>D42*F42</f>
        <v>0</v>
      </c>
    </row>
    <row r="43" spans="1:7" ht="12.75" hidden="1">
      <c r="A43" s="302" t="s">
        <v>91</v>
      </c>
      <c r="B43" s="303"/>
      <c r="C43" s="304"/>
      <c r="D43" s="300" t="s">
        <v>211</v>
      </c>
      <c r="E43" s="300"/>
      <c r="F43" s="300"/>
      <c r="G43" s="300"/>
    </row>
    <row r="44" spans="1:7" ht="12.75" hidden="1">
      <c r="A44" s="305"/>
      <c r="B44" s="306"/>
      <c r="C44" s="307"/>
      <c r="D44" s="311" t="s">
        <v>92</v>
      </c>
      <c r="E44" s="313"/>
      <c r="F44" s="98" t="s">
        <v>178</v>
      </c>
      <c r="G44" s="98" t="s">
        <v>144</v>
      </c>
    </row>
    <row r="45" spans="1:7" ht="12.75" hidden="1">
      <c r="A45" s="308"/>
      <c r="B45" s="309"/>
      <c r="C45" s="310"/>
      <c r="D45" s="311" t="s">
        <v>175</v>
      </c>
      <c r="E45" s="313"/>
      <c r="F45" s="98" t="s">
        <v>11</v>
      </c>
      <c r="G45" s="98" t="s">
        <v>11</v>
      </c>
    </row>
    <row r="46" spans="1:7" ht="12.75" hidden="1">
      <c r="A46" s="327" t="e">
        <f>#REF!</f>
        <v>#REF!</v>
      </c>
      <c r="B46" s="328"/>
      <c r="C46" s="329"/>
      <c r="D46" s="324">
        <v>0</v>
      </c>
      <c r="E46" s="325"/>
      <c r="F46" s="99">
        <v>9.6</v>
      </c>
      <c r="G46" s="99">
        <f>D46*F46</f>
        <v>0</v>
      </c>
    </row>
    <row r="47" spans="1:7" ht="12.75" hidden="1">
      <c r="A47" s="327" t="e">
        <f>A22</f>
        <v>#REF!</v>
      </c>
      <c r="B47" s="328"/>
      <c r="C47" s="329"/>
      <c r="D47" s="324">
        <v>0</v>
      </c>
      <c r="E47" s="325"/>
      <c r="F47" s="99">
        <f>F46</f>
        <v>9.6</v>
      </c>
      <c r="G47" s="99">
        <f>D47*F47</f>
        <v>0</v>
      </c>
    </row>
    <row r="48" spans="1:7" ht="12.75">
      <c r="A48" s="300" t="s">
        <v>273</v>
      </c>
      <c r="B48" s="300"/>
      <c r="C48" s="300"/>
      <c r="D48" s="300"/>
      <c r="E48" s="300"/>
      <c r="F48" s="300"/>
      <c r="G48" s="98">
        <f>SUM(G12:G22,G26:G30,G34:G36,G40:G42,G46:G47)</f>
        <v>0</v>
      </c>
    </row>
    <row r="49" spans="1:7" ht="12.75">
      <c r="A49" s="323"/>
      <c r="B49" s="323"/>
      <c r="C49" s="323"/>
      <c r="D49" s="323"/>
      <c r="E49" s="323"/>
      <c r="F49" s="323"/>
      <c r="G49" s="323"/>
    </row>
    <row r="50" spans="1:7" ht="12.75">
      <c r="A50" s="300" t="s">
        <v>91</v>
      </c>
      <c r="B50" s="300"/>
      <c r="C50" s="300"/>
      <c r="D50" s="300" t="s">
        <v>179</v>
      </c>
      <c r="E50" s="300"/>
      <c r="F50" s="300"/>
      <c r="G50" s="300"/>
    </row>
    <row r="51" spans="1:7" ht="12.75" customHeight="1">
      <c r="A51" s="300"/>
      <c r="B51" s="300"/>
      <c r="C51" s="300"/>
      <c r="D51" s="114" t="s">
        <v>180</v>
      </c>
      <c r="E51" s="98" t="s">
        <v>181</v>
      </c>
      <c r="F51" s="98" t="s">
        <v>182</v>
      </c>
      <c r="G51" s="98" t="s">
        <v>183</v>
      </c>
    </row>
    <row r="52" spans="1:7" ht="12.75">
      <c r="A52" s="300"/>
      <c r="B52" s="300"/>
      <c r="C52" s="300"/>
      <c r="D52" s="114" t="s">
        <v>11</v>
      </c>
      <c r="E52" s="98" t="s">
        <v>175</v>
      </c>
      <c r="F52" s="98" t="s">
        <v>11</v>
      </c>
      <c r="G52" s="98" t="s">
        <v>10</v>
      </c>
    </row>
    <row r="53" spans="1:9" ht="12.75">
      <c r="A53" s="298" t="e">
        <f>A12</f>
        <v>#REF!</v>
      </c>
      <c r="B53" s="299"/>
      <c r="C53" s="299"/>
      <c r="D53" s="42">
        <v>0</v>
      </c>
      <c r="E53" s="42">
        <v>0</v>
      </c>
      <c r="F53" s="99">
        <v>0</v>
      </c>
      <c r="G53" s="99">
        <f>E53/2</f>
        <v>0</v>
      </c>
      <c r="H53" s="132"/>
      <c r="I53" s="132"/>
    </row>
    <row r="54" spans="1:9" ht="12.75">
      <c r="A54" s="298" t="e">
        <f>A13</f>
        <v>#REF!</v>
      </c>
      <c r="B54" s="299"/>
      <c r="C54" s="299"/>
      <c r="D54" s="42">
        <v>0</v>
      </c>
      <c r="E54" s="42">
        <v>0</v>
      </c>
      <c r="F54" s="99">
        <v>0</v>
      </c>
      <c r="G54" s="99">
        <f>E54/2</f>
        <v>0</v>
      </c>
      <c r="H54" s="132"/>
      <c r="I54" s="132"/>
    </row>
    <row r="55" spans="1:9" ht="12.75">
      <c r="A55" s="298" t="e">
        <f>A22</f>
        <v>#REF!</v>
      </c>
      <c r="B55" s="299"/>
      <c r="C55" s="299"/>
      <c r="D55" s="42">
        <v>0</v>
      </c>
      <c r="E55" s="42">
        <v>0</v>
      </c>
      <c r="F55" s="99">
        <f>I55*0.3</f>
        <v>0</v>
      </c>
      <c r="G55" s="99">
        <f>E55/2</f>
        <v>0</v>
      </c>
      <c r="H55" s="132">
        <v>2</v>
      </c>
      <c r="I55" s="132">
        <v>0</v>
      </c>
    </row>
    <row r="56" spans="1:7" ht="12.75">
      <c r="A56" s="300" t="s">
        <v>7</v>
      </c>
      <c r="B56" s="300"/>
      <c r="C56" s="300"/>
      <c r="D56" s="100">
        <f>SUM(D53:D55)</f>
        <v>0</v>
      </c>
      <c r="E56" s="100">
        <f>SUM(E53:E55)</f>
        <v>0</v>
      </c>
      <c r="F56" s="100">
        <f>SUM(F53:F55)</f>
        <v>0</v>
      </c>
      <c r="G56" s="98">
        <f>SUM(G53:G55)</f>
        <v>0</v>
      </c>
    </row>
  </sheetData>
  <sheetProtection/>
  <mergeCells count="57">
    <mergeCell ref="A22:C22"/>
    <mergeCell ref="A14:C14"/>
    <mergeCell ref="A15:C15"/>
    <mergeCell ref="A16:C16"/>
    <mergeCell ref="A17:C17"/>
    <mergeCell ref="A18:C18"/>
    <mergeCell ref="A19:C19"/>
    <mergeCell ref="A20:C20"/>
    <mergeCell ref="A21:C21"/>
    <mergeCell ref="D45:E45"/>
    <mergeCell ref="D23:G23"/>
    <mergeCell ref="A46:C46"/>
    <mergeCell ref="A29:C30"/>
    <mergeCell ref="A13:C13"/>
    <mergeCell ref="D47:E47"/>
    <mergeCell ref="A43:C45"/>
    <mergeCell ref="A47:C47"/>
    <mergeCell ref="D44:E44"/>
    <mergeCell ref="A42:C42"/>
    <mergeCell ref="D46:E46"/>
    <mergeCell ref="A55:C55"/>
    <mergeCell ref="A54:C54"/>
    <mergeCell ref="A53:C53"/>
    <mergeCell ref="A36:C36"/>
    <mergeCell ref="A8:G8"/>
    <mergeCell ref="A9:C11"/>
    <mergeCell ref="D9:G9"/>
    <mergeCell ref="A23:C25"/>
    <mergeCell ref="D38:E38"/>
    <mergeCell ref="A1:G1"/>
    <mergeCell ref="A2:G2"/>
    <mergeCell ref="A3:G3"/>
    <mergeCell ref="D4:G4"/>
    <mergeCell ref="A5:G5"/>
    <mergeCell ref="A56:C56"/>
    <mergeCell ref="A48:F48"/>
    <mergeCell ref="A49:G49"/>
    <mergeCell ref="A50:C52"/>
    <mergeCell ref="D50:G50"/>
    <mergeCell ref="A4:B4"/>
    <mergeCell ref="A6:G7"/>
    <mergeCell ref="A12:C12"/>
    <mergeCell ref="D43:G43"/>
    <mergeCell ref="D42:E42"/>
    <mergeCell ref="D37:G37"/>
    <mergeCell ref="A34:C34"/>
    <mergeCell ref="A35:C35"/>
    <mergeCell ref="A26:C26"/>
    <mergeCell ref="A27:C28"/>
    <mergeCell ref="A40:C40"/>
    <mergeCell ref="D39:E39"/>
    <mergeCell ref="D40:E40"/>
    <mergeCell ref="D41:E41"/>
    <mergeCell ref="A37:C39"/>
    <mergeCell ref="A31:C33"/>
    <mergeCell ref="D31:G31"/>
    <mergeCell ref="A41:C41"/>
  </mergeCells>
  <printOptions/>
  <pageMargins left="0.7874015748031497" right="0.5905511811023623" top="1.7716535433070868" bottom="0.984251968503937" header="0.3937007874015748" footer="0.3937007874015748"/>
  <pageSetup horizontalDpi="600" verticalDpi="600" orientation="portrait" paperSize="9" scale="85" r:id="rId2"/>
  <headerFooter>
    <oddHeader>&amp;L&amp;G&amp;C
&amp;"Arial,Negrito"&amp;14PREFEITURA DE CARACOL
&amp;12ESTADO DE MATO GROSSO DO SUL</oddHeader>
    <oddFooter>&amp;CPágina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workbookViewId="0" topLeftCell="A1">
      <selection activeCell="A17" sqref="A17:J17"/>
    </sheetView>
  </sheetViews>
  <sheetFormatPr defaultColWidth="9.140625" defaultRowHeight="12.75"/>
  <cols>
    <col min="1" max="1" width="12.7109375" style="115" customWidth="1"/>
    <col min="2" max="2" width="11.7109375" style="115" customWidth="1"/>
    <col min="3" max="3" width="10.7109375" style="115" customWidth="1"/>
    <col min="4" max="4" width="12.7109375" style="115" customWidth="1"/>
    <col min="5" max="5" width="9.7109375" style="115" customWidth="1"/>
    <col min="6" max="6" width="15.7109375" style="115" customWidth="1"/>
    <col min="7" max="8" width="10.7109375" style="115" customWidth="1"/>
    <col min="9" max="9" width="9.8515625" style="115" bestFit="1" customWidth="1"/>
    <col min="10" max="10" width="12.57421875" style="115" bestFit="1" customWidth="1"/>
    <col min="11" max="16384" width="9.140625" style="115" customWidth="1"/>
  </cols>
  <sheetData>
    <row r="1" spans="1:15" ht="12.75" customHeight="1">
      <c r="A1" s="265" t="s">
        <v>107</v>
      </c>
      <c r="B1" s="265"/>
      <c r="C1" s="265"/>
      <c r="D1" s="265"/>
      <c r="E1" s="265"/>
      <c r="F1" s="265"/>
      <c r="G1" s="265"/>
      <c r="H1" s="265"/>
      <c r="I1" s="265"/>
      <c r="J1" s="265"/>
      <c r="K1" s="52"/>
      <c r="L1" s="52"/>
      <c r="M1" s="52"/>
      <c r="N1" s="52"/>
      <c r="O1" s="52"/>
    </row>
    <row r="2" spans="1:15" ht="12.75" customHeight="1">
      <c r="A2" s="265" t="s">
        <v>213</v>
      </c>
      <c r="B2" s="265"/>
      <c r="C2" s="265"/>
      <c r="D2" s="265"/>
      <c r="E2" s="265"/>
      <c r="F2" s="265"/>
      <c r="G2" s="265"/>
      <c r="H2" s="265"/>
      <c r="I2" s="265"/>
      <c r="J2" s="265"/>
      <c r="K2" s="52"/>
      <c r="L2" s="52"/>
      <c r="M2" s="52"/>
      <c r="N2" s="52"/>
      <c r="O2" s="52"/>
    </row>
    <row r="3" spans="1:15" ht="12.75" customHeight="1">
      <c r="A3" s="265" t="s">
        <v>187</v>
      </c>
      <c r="B3" s="265"/>
      <c r="C3" s="265"/>
      <c r="D3" s="265"/>
      <c r="E3" s="265"/>
      <c r="F3" s="265"/>
      <c r="G3" s="265"/>
      <c r="H3" s="265"/>
      <c r="I3" s="265"/>
      <c r="J3" s="265"/>
      <c r="K3" s="52"/>
      <c r="L3" s="52"/>
      <c r="M3" s="52"/>
      <c r="N3" s="52"/>
      <c r="O3" s="52"/>
    </row>
    <row r="4" spans="1:15" ht="12.75" customHeight="1">
      <c r="A4" s="265" t="s">
        <v>188</v>
      </c>
      <c r="B4" s="265"/>
      <c r="C4" s="265"/>
      <c r="D4" s="265"/>
      <c r="E4" s="265"/>
      <c r="F4" s="265"/>
      <c r="G4" s="265"/>
      <c r="H4" s="265"/>
      <c r="I4" s="265"/>
      <c r="J4" s="265"/>
      <c r="K4" s="52"/>
      <c r="L4" s="52"/>
      <c r="M4" s="52"/>
      <c r="N4" s="52"/>
      <c r="O4" s="52"/>
    </row>
    <row r="5" spans="1:13" ht="12.75">
      <c r="A5" s="332" t="s">
        <v>142</v>
      </c>
      <c r="B5" s="332"/>
      <c r="C5" s="332"/>
      <c r="D5" s="332"/>
      <c r="E5" s="332"/>
      <c r="F5" s="332"/>
      <c r="G5" s="332"/>
      <c r="H5" s="332"/>
      <c r="I5" s="332"/>
      <c r="J5" s="332"/>
      <c r="K5" s="116"/>
      <c r="L5" s="116"/>
      <c r="M5" s="116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116"/>
      <c r="L6" s="116"/>
      <c r="M6" s="116"/>
    </row>
    <row r="7" spans="1:13" ht="12.75" customHeight="1">
      <c r="A7" s="233" t="s">
        <v>143</v>
      </c>
      <c r="B7" s="233"/>
      <c r="C7" s="233"/>
      <c r="D7" s="233"/>
      <c r="E7" s="233"/>
      <c r="F7" s="233"/>
      <c r="G7" s="60"/>
      <c r="H7" s="60"/>
      <c r="I7" s="60"/>
      <c r="J7" s="60"/>
      <c r="K7" s="60"/>
      <c r="L7" s="60"/>
      <c r="M7" s="60"/>
    </row>
    <row r="8" spans="1:13" ht="12.75">
      <c r="A8" s="245" t="s">
        <v>34</v>
      </c>
      <c r="B8" s="245" t="s">
        <v>93</v>
      </c>
      <c r="C8" s="245" t="s">
        <v>136</v>
      </c>
      <c r="D8" s="245" t="s">
        <v>144</v>
      </c>
      <c r="E8" s="245" t="s">
        <v>145</v>
      </c>
      <c r="F8" s="256" t="s">
        <v>146</v>
      </c>
      <c r="G8" s="262"/>
      <c r="H8" s="258"/>
      <c r="I8" s="60"/>
      <c r="J8" s="258"/>
      <c r="K8" s="258"/>
      <c r="L8" s="258"/>
      <c r="M8" s="258"/>
    </row>
    <row r="9" spans="1:13" ht="12.75">
      <c r="A9" s="245"/>
      <c r="B9" s="245"/>
      <c r="C9" s="245"/>
      <c r="D9" s="245"/>
      <c r="E9" s="245"/>
      <c r="F9" s="257"/>
      <c r="G9" s="262"/>
      <c r="H9" s="258"/>
      <c r="I9" s="60"/>
      <c r="J9" s="258"/>
      <c r="K9" s="258"/>
      <c r="L9" s="258"/>
      <c r="M9" s="258"/>
    </row>
    <row r="10" spans="1:13" ht="12.75">
      <c r="A10" s="245"/>
      <c r="B10" s="55" t="s">
        <v>10</v>
      </c>
      <c r="C10" s="55" t="s">
        <v>10</v>
      </c>
      <c r="D10" s="55" t="s">
        <v>11</v>
      </c>
      <c r="E10" s="55" t="s">
        <v>12</v>
      </c>
      <c r="F10" s="55" t="s">
        <v>12</v>
      </c>
      <c r="G10" s="110"/>
      <c r="H10" s="56"/>
      <c r="I10" s="60"/>
      <c r="J10" s="56"/>
      <c r="K10" s="56"/>
      <c r="L10" s="56"/>
      <c r="M10" s="56"/>
    </row>
    <row r="11" spans="1:13" ht="12.75">
      <c r="A11" s="57" t="s">
        <v>212</v>
      </c>
      <c r="B11" s="58">
        <v>15</v>
      </c>
      <c r="C11" s="58">
        <v>3.25</v>
      </c>
      <c r="D11" s="58">
        <f>TRUNC(B11*C11,2)</f>
        <v>48.75</v>
      </c>
      <c r="E11" s="58">
        <f>TRUNC(D11*($D$15/100),2)</f>
        <v>1.46</v>
      </c>
      <c r="F11" s="58">
        <f>E11</f>
        <v>1.46</v>
      </c>
      <c r="G11" s="117"/>
      <c r="H11" s="59"/>
      <c r="I11" s="59"/>
      <c r="J11" s="59"/>
      <c r="K11" s="59"/>
      <c r="L11" s="59"/>
      <c r="M11" s="59"/>
    </row>
    <row r="12" spans="1:13" ht="12.75" hidden="1">
      <c r="A12" s="57" t="s">
        <v>159</v>
      </c>
      <c r="B12" s="58">
        <v>0</v>
      </c>
      <c r="C12" s="58">
        <v>0</v>
      </c>
      <c r="D12" s="58">
        <f>TRUNC(B12*C12,2)</f>
        <v>0</v>
      </c>
      <c r="E12" s="58">
        <f>TRUNC(D12*($D$15/100),2)</f>
        <v>0</v>
      </c>
      <c r="F12" s="58">
        <f>E12</f>
        <v>0</v>
      </c>
      <c r="G12" s="117"/>
      <c r="H12" s="59"/>
      <c r="I12" s="59"/>
      <c r="J12" s="59"/>
      <c r="K12" s="59"/>
      <c r="L12" s="59"/>
      <c r="M12" s="59"/>
    </row>
    <row r="13" spans="1:13" ht="12.75" hidden="1">
      <c r="A13" s="57" t="s">
        <v>41</v>
      </c>
      <c r="B13" s="58">
        <v>0</v>
      </c>
      <c r="C13" s="58">
        <v>0</v>
      </c>
      <c r="D13" s="58">
        <f>TRUNC(B13*C13,2)</f>
        <v>0</v>
      </c>
      <c r="E13" s="58">
        <f>TRUNC(D13*($D$15/100),2)</f>
        <v>0</v>
      </c>
      <c r="F13" s="58">
        <f>E13</f>
        <v>0</v>
      </c>
      <c r="G13" s="117"/>
      <c r="H13" s="59"/>
      <c r="I13" s="59"/>
      <c r="J13" s="59"/>
      <c r="K13" s="62"/>
      <c r="L13" s="59"/>
      <c r="M13" s="59"/>
    </row>
    <row r="14" spans="1:13" ht="12.75">
      <c r="A14" s="55" t="s">
        <v>7</v>
      </c>
      <c r="B14" s="334"/>
      <c r="C14" s="334"/>
      <c r="D14" s="68">
        <f>TRUNC(SUM(D11:D13),1)</f>
        <v>48.7</v>
      </c>
      <c r="E14" s="68">
        <f>TRUNC(SUM(E11:E13),1)</f>
        <v>1.4</v>
      </c>
      <c r="F14" s="68">
        <f>TRUNC(SUM(F11:F13),1)</f>
        <v>1.4</v>
      </c>
      <c r="G14" s="118"/>
      <c r="H14" s="69"/>
      <c r="I14" s="69"/>
      <c r="J14" s="69"/>
      <c r="K14" s="69"/>
      <c r="L14" s="69"/>
      <c r="M14" s="69"/>
    </row>
    <row r="15" spans="1:5" ht="12.75">
      <c r="A15" s="235" t="s">
        <v>147</v>
      </c>
      <c r="B15" s="235"/>
      <c r="C15" s="235"/>
      <c r="D15" s="119">
        <v>3</v>
      </c>
      <c r="E15" s="115" t="s">
        <v>148</v>
      </c>
    </row>
    <row r="16" ht="12.75"/>
    <row r="17" spans="1:13" ht="12.75" customHeight="1">
      <c r="A17" s="233" t="s">
        <v>149</v>
      </c>
      <c r="B17" s="233"/>
      <c r="C17" s="233"/>
      <c r="D17" s="233"/>
      <c r="E17" s="233"/>
      <c r="F17" s="233"/>
      <c r="G17" s="233"/>
      <c r="H17" s="233"/>
      <c r="I17" s="233"/>
      <c r="J17" s="233"/>
      <c r="K17" s="60"/>
      <c r="L17" s="60"/>
      <c r="M17" s="60"/>
    </row>
    <row r="18" spans="1:13" ht="12.75" customHeight="1">
      <c r="A18" s="245" t="s">
        <v>34</v>
      </c>
      <c r="B18" s="245" t="s">
        <v>93</v>
      </c>
      <c r="C18" s="245" t="s">
        <v>136</v>
      </c>
      <c r="D18" s="245" t="s">
        <v>150</v>
      </c>
      <c r="E18" s="245" t="s">
        <v>160</v>
      </c>
      <c r="F18" s="245" t="s">
        <v>151</v>
      </c>
      <c r="G18" s="245" t="s">
        <v>47</v>
      </c>
      <c r="H18" s="245" t="s">
        <v>152</v>
      </c>
      <c r="I18" s="245" t="s">
        <v>153</v>
      </c>
      <c r="J18" s="245" t="s">
        <v>154</v>
      </c>
      <c r="K18" s="111"/>
      <c r="L18" s="54"/>
      <c r="M18" s="120"/>
    </row>
    <row r="19" spans="1:13" ht="12.75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111"/>
      <c r="L19" s="54"/>
      <c r="M19" s="120"/>
    </row>
    <row r="20" spans="1:13" ht="12.75">
      <c r="A20" s="245"/>
      <c r="B20" s="55" t="s">
        <v>10</v>
      </c>
      <c r="C20" s="55" t="s">
        <v>10</v>
      </c>
      <c r="D20" s="55" t="s">
        <v>10</v>
      </c>
      <c r="E20" s="55" t="s">
        <v>12</v>
      </c>
      <c r="F20" s="55" t="s">
        <v>31</v>
      </c>
      <c r="G20" s="55" t="s">
        <v>12</v>
      </c>
      <c r="H20" s="55" t="s">
        <v>11</v>
      </c>
      <c r="I20" s="55" t="s">
        <v>28</v>
      </c>
      <c r="J20" s="55" t="s">
        <v>13</v>
      </c>
      <c r="K20" s="110"/>
      <c r="L20" s="56"/>
      <c r="M20" s="120"/>
    </row>
    <row r="21" spans="1:13" ht="12.75">
      <c r="A21" s="57" t="s">
        <v>212</v>
      </c>
      <c r="B21" s="58">
        <v>15</v>
      </c>
      <c r="C21" s="58">
        <v>3.25</v>
      </c>
      <c r="D21" s="58">
        <v>0.15</v>
      </c>
      <c r="E21" s="58">
        <f>TRUNC(G21*$G$26,2)</f>
        <v>9.5</v>
      </c>
      <c r="F21" s="58">
        <f>TRUNC(E21*$C$27,2)</f>
        <v>95</v>
      </c>
      <c r="G21" s="58">
        <f>TRUNC(B21*C21*D21,2)</f>
        <v>7.31</v>
      </c>
      <c r="H21" s="58">
        <f>TRUNC(B21*C21,2)</f>
        <v>48.75</v>
      </c>
      <c r="I21" s="58">
        <f>TRUNC(H21*($C$25/100)*$G$25,2)</f>
        <v>3.51</v>
      </c>
      <c r="J21" s="58">
        <f>TRUNC(I21*$C$26,2)</f>
        <v>873.99</v>
      </c>
      <c r="K21" s="117"/>
      <c r="L21" s="59"/>
      <c r="M21" s="59"/>
    </row>
    <row r="22" spans="1:13" ht="12.75" hidden="1">
      <c r="A22" s="57" t="s">
        <v>159</v>
      </c>
      <c r="B22" s="58">
        <v>0</v>
      </c>
      <c r="C22" s="58">
        <v>0</v>
      </c>
      <c r="D22" s="58">
        <v>0</v>
      </c>
      <c r="E22" s="58">
        <f>TRUNC(G22*$G$26,2)</f>
        <v>0</v>
      </c>
      <c r="F22" s="58">
        <f>TRUNC(E22*$C$27,2)</f>
        <v>0</v>
      </c>
      <c r="G22" s="58">
        <f>TRUNC(B22*C22*D22,2)</f>
        <v>0</v>
      </c>
      <c r="H22" s="58">
        <f>TRUNC(B22*C22,2)</f>
        <v>0</v>
      </c>
      <c r="I22" s="58">
        <f>TRUNC(H22*($C$25/100)*$G$25,2)</f>
        <v>0</v>
      </c>
      <c r="J22" s="58">
        <f>TRUNC(I22*$C$26,2)</f>
        <v>0</v>
      </c>
      <c r="K22" s="117"/>
      <c r="L22" s="59"/>
      <c r="M22" s="59"/>
    </row>
    <row r="23" spans="1:13" ht="12.75" hidden="1">
      <c r="A23" s="57" t="s">
        <v>41</v>
      </c>
      <c r="B23" s="58">
        <v>0</v>
      </c>
      <c r="C23" s="58">
        <v>0</v>
      </c>
      <c r="D23" s="58">
        <v>0</v>
      </c>
      <c r="E23" s="58">
        <f>TRUNC(G23*$G$26,2)</f>
        <v>0</v>
      </c>
      <c r="F23" s="58">
        <f>TRUNC(E23*$C$27,2)</f>
        <v>0</v>
      </c>
      <c r="G23" s="58">
        <f>TRUNC(B23*C23*D23,2)</f>
        <v>0</v>
      </c>
      <c r="H23" s="58">
        <f>TRUNC(B23*C23,2)</f>
        <v>0</v>
      </c>
      <c r="I23" s="58">
        <f>TRUNC(H23*($C$25/100)*$G$25,2)</f>
        <v>0</v>
      </c>
      <c r="J23" s="58">
        <f>TRUNC(I23*$C$26,2)</f>
        <v>0</v>
      </c>
      <c r="K23" s="112"/>
      <c r="L23" s="59"/>
      <c r="M23" s="59"/>
    </row>
    <row r="24" spans="1:13" ht="12.75">
      <c r="A24" s="136" t="s">
        <v>7</v>
      </c>
      <c r="B24" s="334"/>
      <c r="C24" s="334"/>
      <c r="D24" s="334"/>
      <c r="E24" s="68">
        <f aca="true" t="shared" si="0" ref="E24:J24">TRUNC(SUM(E21:E23),1)</f>
        <v>9.5</v>
      </c>
      <c r="F24" s="68">
        <f t="shared" si="0"/>
        <v>95</v>
      </c>
      <c r="G24" s="68">
        <f t="shared" si="0"/>
        <v>7.3</v>
      </c>
      <c r="H24" s="68">
        <f t="shared" si="0"/>
        <v>48.7</v>
      </c>
      <c r="I24" s="68">
        <f t="shared" si="0"/>
        <v>3.5</v>
      </c>
      <c r="J24" s="68">
        <f t="shared" si="0"/>
        <v>873.9</v>
      </c>
      <c r="K24" s="118"/>
      <c r="L24" s="69"/>
      <c r="M24" s="69"/>
    </row>
    <row r="25" spans="1:11" ht="12.75">
      <c r="A25" s="235" t="s">
        <v>155</v>
      </c>
      <c r="B25" s="235"/>
      <c r="C25" s="121">
        <v>3</v>
      </c>
      <c r="D25" s="122" t="s">
        <v>148</v>
      </c>
      <c r="E25" s="330" t="s">
        <v>156</v>
      </c>
      <c r="F25" s="330"/>
      <c r="G25" s="123">
        <v>2.4</v>
      </c>
      <c r="H25" s="122" t="s">
        <v>51</v>
      </c>
      <c r="I25" s="331"/>
      <c r="J25" s="331"/>
      <c r="K25" s="124"/>
    </row>
    <row r="26" spans="1:8" ht="12.75">
      <c r="A26" s="231" t="s">
        <v>157</v>
      </c>
      <c r="B26" s="231"/>
      <c r="C26" s="125">
        <v>249</v>
      </c>
      <c r="D26" s="120" t="s">
        <v>49</v>
      </c>
      <c r="E26" s="333" t="s">
        <v>95</v>
      </c>
      <c r="F26" s="333"/>
      <c r="G26" s="126">
        <v>1.3</v>
      </c>
      <c r="H26" s="120"/>
    </row>
    <row r="27" spans="1:4" ht="12.75">
      <c r="A27" s="231" t="s">
        <v>158</v>
      </c>
      <c r="B27" s="231"/>
      <c r="C27" s="125">
        <v>10</v>
      </c>
      <c r="D27" s="115" t="s">
        <v>49</v>
      </c>
    </row>
  </sheetData>
  <sheetProtection/>
  <mergeCells count="37">
    <mergeCell ref="A7:F7"/>
    <mergeCell ref="A8:A10"/>
    <mergeCell ref="B8:B9"/>
    <mergeCell ref="C8:C9"/>
    <mergeCell ref="D8:D9"/>
    <mergeCell ref="E8:E9"/>
    <mergeCell ref="F8:F9"/>
    <mergeCell ref="E26:F26"/>
    <mergeCell ref="J8:J9"/>
    <mergeCell ref="K8:L9"/>
    <mergeCell ref="M8:M9"/>
    <mergeCell ref="A15:C15"/>
    <mergeCell ref="A17:J17"/>
    <mergeCell ref="B14:C14"/>
    <mergeCell ref="B24:D24"/>
    <mergeCell ref="G8:G9"/>
    <mergeCell ref="H8:H9"/>
    <mergeCell ref="A27:B27"/>
    <mergeCell ref="F18:F19"/>
    <mergeCell ref="G18:G19"/>
    <mergeCell ref="H18:H19"/>
    <mergeCell ref="A18:A20"/>
    <mergeCell ref="B18:B19"/>
    <mergeCell ref="C18:C19"/>
    <mergeCell ref="D18:D19"/>
    <mergeCell ref="E18:E19"/>
    <mergeCell ref="A26:B26"/>
    <mergeCell ref="A1:J1"/>
    <mergeCell ref="A2:J2"/>
    <mergeCell ref="A3:J3"/>
    <mergeCell ref="A4:J4"/>
    <mergeCell ref="A25:B25"/>
    <mergeCell ref="E25:F25"/>
    <mergeCell ref="I25:J25"/>
    <mergeCell ref="I18:I19"/>
    <mergeCell ref="J18:J19"/>
    <mergeCell ref="A5:J6"/>
  </mergeCells>
  <printOptions/>
  <pageMargins left="0.5905511811023623" right="0.3937007874015748" top="1.7716535433070868" bottom="1.1811023622047245" header="0.3937007874015748" footer="0.3937007874015748"/>
  <pageSetup horizontalDpi="300" verticalDpi="300" orientation="portrait" paperSize="9" scale="80" r:id="rId4"/>
  <headerFooter>
    <oddHeader>&amp;L&amp;G&amp;C&amp;"Arial Narrow,Normal"
&amp;"Arial Narrow,Negrito"&amp;14ESTADO DE MATO GROSSO DO SUL
&amp;12PREFEITURA DE CARACOL</oddHeader>
    <oddFooter>&amp;CPágina &amp;P de &amp;N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89"/>
  <sheetViews>
    <sheetView view="pageBreakPreview" zoomScaleSheetLayoutView="100" workbookViewId="0" topLeftCell="A61">
      <selection activeCell="A8" sqref="A8:H8"/>
    </sheetView>
  </sheetViews>
  <sheetFormatPr defaultColWidth="9.140625" defaultRowHeight="12.75"/>
  <cols>
    <col min="1" max="1" width="7.7109375" style="24" customWidth="1"/>
    <col min="2" max="2" width="9.7109375" style="24" customWidth="1"/>
    <col min="3" max="3" width="57.7109375" style="13" customWidth="1"/>
    <col min="4" max="4" width="4.7109375" style="13" customWidth="1"/>
    <col min="5" max="5" width="5.8515625" style="24" bestFit="1" customWidth="1"/>
    <col min="6" max="6" width="9.7109375" style="25" bestFit="1" customWidth="1"/>
    <col min="7" max="7" width="8.7109375" style="26" bestFit="1" customWidth="1"/>
    <col min="8" max="8" width="9.57421875" style="27" customWidth="1"/>
    <col min="9" max="9" width="10.57421875" style="2" customWidth="1"/>
    <col min="10" max="10" width="7.7109375" style="2" customWidth="1"/>
    <col min="11" max="11" width="9.28125" style="2" customWidth="1"/>
    <col min="12" max="229" width="9.140625" style="2" customWidth="1"/>
    <col min="230" max="16384" width="9.140625" style="13" customWidth="1"/>
  </cols>
  <sheetData>
    <row r="1" spans="1:8" s="2" customFormat="1" ht="13.5" customHeight="1">
      <c r="A1" s="295" t="s">
        <v>574</v>
      </c>
      <c r="B1" s="295"/>
      <c r="C1" s="295"/>
      <c r="D1" s="295"/>
      <c r="E1" s="295"/>
      <c r="F1" s="295"/>
      <c r="G1" s="295"/>
      <c r="H1" s="295"/>
    </row>
    <row r="2" spans="1:8" s="2" customFormat="1" ht="13.5" customHeight="1">
      <c r="A2" s="356" t="s">
        <v>556</v>
      </c>
      <c r="B2" s="356"/>
      <c r="C2" s="356"/>
      <c r="D2" s="356"/>
      <c r="E2" s="356"/>
      <c r="F2" s="356"/>
      <c r="G2" s="356"/>
      <c r="H2" s="356"/>
    </row>
    <row r="3" spans="1:8" s="2" customFormat="1" ht="13.5" customHeight="1">
      <c r="A3" s="295" t="s">
        <v>557</v>
      </c>
      <c r="B3" s="295"/>
      <c r="C3" s="295"/>
      <c r="D3" s="295"/>
      <c r="E3" s="295"/>
      <c r="F3" s="295"/>
      <c r="G3" s="295"/>
      <c r="H3" s="295"/>
    </row>
    <row r="4" spans="1:9" s="2" customFormat="1" ht="13.5" customHeight="1">
      <c r="A4" s="295" t="s">
        <v>559</v>
      </c>
      <c r="B4" s="295"/>
      <c r="C4" s="295"/>
      <c r="D4" s="295"/>
      <c r="E4" s="295"/>
      <c r="F4" s="295"/>
      <c r="G4" s="295"/>
      <c r="H4" s="295"/>
      <c r="I4" s="6"/>
    </row>
    <row r="5" spans="1:9" s="2" customFormat="1" ht="13.5" customHeight="1">
      <c r="A5" s="295" t="s">
        <v>558</v>
      </c>
      <c r="B5" s="295"/>
      <c r="C5" s="295"/>
      <c r="D5" s="295"/>
      <c r="E5" s="295"/>
      <c r="F5" s="295"/>
      <c r="G5" s="295"/>
      <c r="H5" s="295"/>
      <c r="I5" s="6"/>
    </row>
    <row r="6" spans="1:9" s="2" customFormat="1" ht="13.5" customHeight="1">
      <c r="A6" s="295" t="s">
        <v>560</v>
      </c>
      <c r="B6" s="295"/>
      <c r="C6" s="295"/>
      <c r="D6" s="295"/>
      <c r="E6" s="295"/>
      <c r="F6" s="295"/>
      <c r="G6" s="295"/>
      <c r="H6" s="295"/>
      <c r="I6" s="6"/>
    </row>
    <row r="7" spans="1:9" s="2" customFormat="1" ht="12.75">
      <c r="A7" s="295" t="s">
        <v>561</v>
      </c>
      <c r="B7" s="295"/>
      <c r="C7" s="295"/>
      <c r="D7" s="295"/>
      <c r="E7" s="295"/>
      <c r="F7" s="295"/>
      <c r="G7" s="295"/>
      <c r="H7" s="295"/>
      <c r="I7" s="6"/>
    </row>
    <row r="8" spans="1:15" s="2" customFormat="1" ht="13.5" customHeight="1">
      <c r="A8" s="295" t="s">
        <v>551</v>
      </c>
      <c r="B8" s="295"/>
      <c r="C8" s="295"/>
      <c r="D8" s="295"/>
      <c r="E8" s="295"/>
      <c r="F8" s="295"/>
      <c r="G8" s="295"/>
      <c r="H8" s="295"/>
      <c r="I8" s="101">
        <v>0.3</v>
      </c>
      <c r="J8" s="101"/>
      <c r="K8" s="101"/>
      <c r="L8" s="101"/>
      <c r="M8" s="101"/>
      <c r="N8" s="101"/>
      <c r="O8" s="101"/>
    </row>
    <row r="9" spans="1:9" s="2" customFormat="1" ht="12.75" customHeight="1">
      <c r="A9" s="351" t="s">
        <v>221</v>
      </c>
      <c r="B9" s="351"/>
      <c r="C9" s="351"/>
      <c r="D9" s="351"/>
      <c r="E9" s="351"/>
      <c r="F9" s="351"/>
      <c r="G9" s="351"/>
      <c r="H9" s="351"/>
      <c r="I9" s="6"/>
    </row>
    <row r="10" spans="1:9" s="2" customFormat="1" ht="12.75" customHeight="1">
      <c r="A10" s="352"/>
      <c r="B10" s="352"/>
      <c r="C10" s="352"/>
      <c r="D10" s="352"/>
      <c r="E10" s="352"/>
      <c r="F10" s="352"/>
      <c r="G10" s="352"/>
      <c r="H10" s="352"/>
      <c r="I10" s="6"/>
    </row>
    <row r="11" spans="1:229" s="12" customFormat="1" ht="13.5" customHeight="1">
      <c r="A11" s="349" t="s">
        <v>0</v>
      </c>
      <c r="B11" s="349" t="s">
        <v>112</v>
      </c>
      <c r="C11" s="349" t="s">
        <v>190</v>
      </c>
      <c r="D11" s="349" t="s">
        <v>18</v>
      </c>
      <c r="E11" s="341" t="s">
        <v>15</v>
      </c>
      <c r="F11" s="341" t="s">
        <v>2</v>
      </c>
      <c r="G11" s="341" t="s">
        <v>201</v>
      </c>
      <c r="H11" s="34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</row>
    <row r="12" spans="1:229" s="12" customFormat="1" ht="12.75">
      <c r="A12" s="350"/>
      <c r="B12" s="350"/>
      <c r="C12" s="350"/>
      <c r="D12" s="350"/>
      <c r="E12" s="341"/>
      <c r="F12" s="341"/>
      <c r="G12" s="11" t="s">
        <v>6</v>
      </c>
      <c r="H12" s="11" t="s">
        <v>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</row>
    <row r="13" spans="1:229" s="15" customFormat="1" ht="12.75">
      <c r="A13" s="14" t="s">
        <v>21</v>
      </c>
      <c r="B13" s="14"/>
      <c r="C13" s="340" t="s">
        <v>3</v>
      </c>
      <c r="D13" s="340"/>
      <c r="E13" s="340"/>
      <c r="F13" s="341"/>
      <c r="G13" s="341"/>
      <c r="H13" s="34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11" ht="25.5">
      <c r="A14" s="16" t="s">
        <v>22</v>
      </c>
      <c r="B14" s="17">
        <v>93584</v>
      </c>
      <c r="C14" s="18" t="s">
        <v>275</v>
      </c>
      <c r="D14" s="17"/>
      <c r="E14" s="16" t="s">
        <v>11</v>
      </c>
      <c r="F14" s="160">
        <v>12</v>
      </c>
      <c r="G14" s="160">
        <f>K14</f>
        <v>475.51</v>
      </c>
      <c r="H14" s="160">
        <f aca="true" t="shared" si="0" ref="H14:H19">TRUNC(F14*G14,2)</f>
        <v>5706.12</v>
      </c>
      <c r="I14" s="5">
        <v>365.78</v>
      </c>
      <c r="J14" s="5">
        <f aca="true" t="shared" si="1" ref="J14:J19">TRUNC(I14*$I$8,2)</f>
        <v>109.73</v>
      </c>
      <c r="K14" s="5">
        <f>SUM(I14:J14)</f>
        <v>475.51</v>
      </c>
    </row>
    <row r="15" spans="1:11" ht="12.75">
      <c r="A15" s="16" t="s">
        <v>26</v>
      </c>
      <c r="B15" s="17" t="s">
        <v>17</v>
      </c>
      <c r="C15" s="18" t="s">
        <v>274</v>
      </c>
      <c r="D15" s="17"/>
      <c r="E15" s="16" t="s">
        <v>11</v>
      </c>
      <c r="F15" s="160">
        <v>6</v>
      </c>
      <c r="G15" s="160">
        <f>K15</f>
        <v>411.43</v>
      </c>
      <c r="H15" s="160">
        <f t="shared" si="0"/>
        <v>2468.58</v>
      </c>
      <c r="I15" s="5">
        <v>316.49</v>
      </c>
      <c r="J15" s="5">
        <f t="shared" si="1"/>
        <v>94.94</v>
      </c>
      <c r="K15" s="5">
        <f>SUM(I15:J15)</f>
        <v>411.43</v>
      </c>
    </row>
    <row r="16" spans="1:11" ht="25.5">
      <c r="A16" s="16" t="s">
        <v>29</v>
      </c>
      <c r="B16" s="17">
        <v>92970</v>
      </c>
      <c r="C16" s="18" t="s">
        <v>579</v>
      </c>
      <c r="D16" s="17"/>
      <c r="E16" s="16" t="s">
        <v>11</v>
      </c>
      <c r="F16" s="160">
        <v>98.4</v>
      </c>
      <c r="G16" s="160">
        <f>K16</f>
        <v>12.84</v>
      </c>
      <c r="H16" s="160">
        <f t="shared" si="0"/>
        <v>1263.45</v>
      </c>
      <c r="I16" s="5">
        <v>9.88</v>
      </c>
      <c r="J16" s="5">
        <f t="shared" si="1"/>
        <v>2.96</v>
      </c>
      <c r="K16" s="5">
        <f aca="true" t="shared" si="2" ref="K16:K53">SUM(I16:J16)</f>
        <v>12.84</v>
      </c>
    </row>
    <row r="17" spans="1:11" ht="25.5" hidden="1">
      <c r="A17" s="16" t="s">
        <v>106</v>
      </c>
      <c r="B17" s="144">
        <v>78472</v>
      </c>
      <c r="C17" s="142" t="s">
        <v>219</v>
      </c>
      <c r="D17" s="144"/>
      <c r="E17" s="16" t="s">
        <v>11</v>
      </c>
      <c r="F17" s="160">
        <v>0</v>
      </c>
      <c r="G17" s="160">
        <f>K17</f>
        <v>0.45</v>
      </c>
      <c r="H17" s="160">
        <f t="shared" si="0"/>
        <v>0</v>
      </c>
      <c r="I17" s="5">
        <v>0.35</v>
      </c>
      <c r="J17" s="5">
        <f t="shared" si="1"/>
        <v>0.1</v>
      </c>
      <c r="K17" s="5">
        <f t="shared" si="2"/>
        <v>0.45</v>
      </c>
    </row>
    <row r="18" spans="1:11" ht="12.75" hidden="1">
      <c r="A18" s="16" t="s">
        <v>120</v>
      </c>
      <c r="B18" s="144">
        <v>73610</v>
      </c>
      <c r="C18" s="142" t="s">
        <v>220</v>
      </c>
      <c r="D18" s="144"/>
      <c r="E18" s="16" t="s">
        <v>10</v>
      </c>
      <c r="F18" s="160">
        <f>MEM_DRENAGEM!P22</f>
        <v>1.28</v>
      </c>
      <c r="G18" s="160">
        <f>K18</f>
        <v>0.63</v>
      </c>
      <c r="H18" s="160">
        <f t="shared" si="0"/>
        <v>0.8</v>
      </c>
      <c r="I18" s="5">
        <v>0.49</v>
      </c>
      <c r="J18" s="5">
        <f t="shared" si="1"/>
        <v>0.14</v>
      </c>
      <c r="K18" s="5">
        <f t="shared" si="2"/>
        <v>0.63</v>
      </c>
    </row>
    <row r="19" spans="1:11" ht="12.75">
      <c r="A19" s="16" t="s">
        <v>106</v>
      </c>
      <c r="B19" s="17"/>
      <c r="C19" s="18" t="s">
        <v>583</v>
      </c>
      <c r="D19" s="17"/>
      <c r="E19" s="16"/>
      <c r="F19" s="160">
        <v>1</v>
      </c>
      <c r="G19" s="160">
        <v>1974</v>
      </c>
      <c r="H19" s="160">
        <f t="shared" si="0"/>
        <v>1974</v>
      </c>
      <c r="I19" s="5">
        <v>9.88</v>
      </c>
      <c r="J19" s="5">
        <f t="shared" si="1"/>
        <v>2.96</v>
      </c>
      <c r="K19" s="5">
        <f>SUM(I19:J19)</f>
        <v>12.84</v>
      </c>
    </row>
    <row r="20" spans="1:11" ht="12.75" customHeight="1">
      <c r="A20" s="335" t="s">
        <v>191</v>
      </c>
      <c r="B20" s="335"/>
      <c r="C20" s="335"/>
      <c r="D20" s="335"/>
      <c r="E20" s="335"/>
      <c r="F20" s="339">
        <f>SUM(H14:H19)</f>
        <v>11412.95</v>
      </c>
      <c r="G20" s="339"/>
      <c r="H20" s="339"/>
      <c r="I20" s="5"/>
      <c r="J20" s="5"/>
      <c r="K20" s="5"/>
    </row>
    <row r="21" spans="1:11" ht="12.75" customHeight="1">
      <c r="A21" s="335" t="s">
        <v>225</v>
      </c>
      <c r="B21" s="335"/>
      <c r="C21" s="335"/>
      <c r="D21" s="335"/>
      <c r="E21" s="335"/>
      <c r="F21" s="339">
        <f>F20</f>
        <v>11412.95</v>
      </c>
      <c r="G21" s="339"/>
      <c r="H21" s="339"/>
      <c r="I21" s="5"/>
      <c r="J21" s="5"/>
      <c r="K21" s="5"/>
    </row>
    <row r="22" spans="1:11" ht="12.75" customHeight="1">
      <c r="A22" s="137" t="s">
        <v>20</v>
      </c>
      <c r="B22" s="137"/>
      <c r="C22" s="340" t="s">
        <v>192</v>
      </c>
      <c r="D22" s="340"/>
      <c r="E22" s="340"/>
      <c r="F22" s="341"/>
      <c r="G22" s="341"/>
      <c r="H22" s="341"/>
      <c r="I22" s="5"/>
      <c r="J22" s="5"/>
      <c r="K22" s="5"/>
    </row>
    <row r="23" spans="1:11" ht="12.75" customHeight="1">
      <c r="A23" s="137" t="s">
        <v>222</v>
      </c>
      <c r="B23" s="137"/>
      <c r="C23" s="340" t="s">
        <v>228</v>
      </c>
      <c r="D23" s="340"/>
      <c r="E23" s="340"/>
      <c r="F23" s="341"/>
      <c r="G23" s="341"/>
      <c r="H23" s="341"/>
      <c r="I23" s="5"/>
      <c r="J23" s="5"/>
      <c r="K23" s="5"/>
    </row>
    <row r="24" spans="1:11" ht="38.25">
      <c r="A24" s="138" t="s">
        <v>23</v>
      </c>
      <c r="B24" s="35" t="s">
        <v>538</v>
      </c>
      <c r="C24" s="30" t="s">
        <v>539</v>
      </c>
      <c r="D24" s="141"/>
      <c r="E24" s="135" t="s">
        <v>12</v>
      </c>
      <c r="F24" s="145">
        <v>169.01</v>
      </c>
      <c r="G24" s="143">
        <f aca="true" t="shared" si="3" ref="G24:G30">K24</f>
        <v>9.9</v>
      </c>
      <c r="H24" s="143">
        <f aca="true" t="shared" si="4" ref="H24:H47">TRUNC(F24*G24,2)</f>
        <v>1673.19</v>
      </c>
      <c r="I24" s="5">
        <v>7.62</v>
      </c>
      <c r="J24" s="5">
        <f aca="true" t="shared" si="5" ref="J24:J30">TRUNC(I24*$I$8,2)</f>
        <v>2.28</v>
      </c>
      <c r="K24" s="5">
        <f t="shared" si="2"/>
        <v>9.9</v>
      </c>
    </row>
    <row r="25" spans="1:11" ht="22.5" customHeight="1">
      <c r="A25" s="138" t="s">
        <v>24</v>
      </c>
      <c r="B25" s="138" t="s">
        <v>545</v>
      </c>
      <c r="C25" s="139" t="s">
        <v>276</v>
      </c>
      <c r="D25" s="135"/>
      <c r="E25" s="135" t="s">
        <v>12</v>
      </c>
      <c r="F25" s="145">
        <v>18.81</v>
      </c>
      <c r="G25" s="143">
        <f t="shared" si="3"/>
        <v>67.1</v>
      </c>
      <c r="H25" s="143">
        <f t="shared" si="4"/>
        <v>1262.15</v>
      </c>
      <c r="I25" s="5">
        <v>51.62</v>
      </c>
      <c r="J25" s="5">
        <f t="shared" si="5"/>
        <v>15.48</v>
      </c>
      <c r="K25" s="5">
        <f t="shared" si="2"/>
        <v>67.1</v>
      </c>
    </row>
    <row r="26" spans="1:11" ht="24.75" customHeight="1">
      <c r="A26" s="138" t="s">
        <v>562</v>
      </c>
      <c r="B26" s="144" t="s">
        <v>218</v>
      </c>
      <c r="C26" s="142" t="s">
        <v>223</v>
      </c>
      <c r="D26" s="144"/>
      <c r="E26" s="135" t="s">
        <v>12</v>
      </c>
      <c r="F26" s="145">
        <v>18.44</v>
      </c>
      <c r="G26" s="143">
        <f t="shared" si="3"/>
        <v>2.13</v>
      </c>
      <c r="H26" s="143">
        <f t="shared" si="4"/>
        <v>39.27</v>
      </c>
      <c r="I26" s="5">
        <v>1.64</v>
      </c>
      <c r="J26" s="5">
        <f t="shared" si="5"/>
        <v>0.49</v>
      </c>
      <c r="K26" s="5">
        <f t="shared" si="2"/>
        <v>2.13</v>
      </c>
    </row>
    <row r="27" spans="1:11" ht="24.75" customHeight="1">
      <c r="A27" s="138" t="s">
        <v>563</v>
      </c>
      <c r="B27" s="151">
        <v>95301</v>
      </c>
      <c r="C27" s="18" t="s">
        <v>224</v>
      </c>
      <c r="D27" s="17">
        <v>5</v>
      </c>
      <c r="E27" s="135" t="s">
        <v>12</v>
      </c>
      <c r="F27" s="145">
        <v>18.44</v>
      </c>
      <c r="G27" s="143">
        <f t="shared" si="3"/>
        <v>4.32</v>
      </c>
      <c r="H27" s="143">
        <f t="shared" si="4"/>
        <v>79.66</v>
      </c>
      <c r="I27" s="5">
        <v>3.33</v>
      </c>
      <c r="J27" s="5">
        <f t="shared" si="5"/>
        <v>0.99</v>
      </c>
      <c r="K27" s="5">
        <f t="shared" si="2"/>
        <v>4.32</v>
      </c>
    </row>
    <row r="28" spans="1:11" ht="12.75">
      <c r="A28" s="138" t="s">
        <v>564</v>
      </c>
      <c r="B28" s="140">
        <v>94097</v>
      </c>
      <c r="C28" s="18" t="s">
        <v>193</v>
      </c>
      <c r="D28" s="17"/>
      <c r="E28" s="135" t="s">
        <v>11</v>
      </c>
      <c r="F28" s="145">
        <v>112</v>
      </c>
      <c r="G28" s="143">
        <f t="shared" si="3"/>
        <v>5.2</v>
      </c>
      <c r="H28" s="143">
        <f t="shared" si="4"/>
        <v>582.4</v>
      </c>
      <c r="I28" s="5">
        <v>4</v>
      </c>
      <c r="J28" s="5">
        <f t="shared" si="5"/>
        <v>1.2</v>
      </c>
      <c r="K28" s="5">
        <f t="shared" si="2"/>
        <v>5.2</v>
      </c>
    </row>
    <row r="29" spans="1:11" ht="21" customHeight="1">
      <c r="A29" s="138" t="s">
        <v>565</v>
      </c>
      <c r="B29" s="138" t="s">
        <v>547</v>
      </c>
      <c r="C29" s="139" t="s">
        <v>277</v>
      </c>
      <c r="D29" s="135"/>
      <c r="E29" s="135" t="s">
        <v>12</v>
      </c>
      <c r="F29" s="145">
        <v>81.44</v>
      </c>
      <c r="G29" s="143">
        <f t="shared" si="3"/>
        <v>40.69</v>
      </c>
      <c r="H29" s="143">
        <f t="shared" si="4"/>
        <v>3313.79</v>
      </c>
      <c r="I29" s="5">
        <v>31.3</v>
      </c>
      <c r="J29" s="5">
        <f t="shared" si="5"/>
        <v>9.39</v>
      </c>
      <c r="K29" s="5">
        <f t="shared" si="2"/>
        <v>40.69</v>
      </c>
    </row>
    <row r="30" spans="1:11" ht="21.75" customHeight="1">
      <c r="A30" s="138" t="s">
        <v>566</v>
      </c>
      <c r="B30" s="138" t="s">
        <v>548</v>
      </c>
      <c r="C30" s="139" t="s">
        <v>278</v>
      </c>
      <c r="D30" s="135"/>
      <c r="E30" s="135" t="s">
        <v>12</v>
      </c>
      <c r="F30" s="145">
        <v>92.64</v>
      </c>
      <c r="G30" s="143">
        <f t="shared" si="3"/>
        <v>13.81</v>
      </c>
      <c r="H30" s="143">
        <f t="shared" si="4"/>
        <v>1279.35</v>
      </c>
      <c r="I30" s="5">
        <v>10.63</v>
      </c>
      <c r="J30" s="5">
        <f t="shared" si="5"/>
        <v>3.18</v>
      </c>
      <c r="K30" s="5">
        <f t="shared" si="2"/>
        <v>13.81</v>
      </c>
    </row>
    <row r="31" spans="1:11" ht="12.75">
      <c r="A31" s="335" t="s">
        <v>191</v>
      </c>
      <c r="B31" s="335"/>
      <c r="C31" s="335"/>
      <c r="D31" s="335"/>
      <c r="E31" s="335"/>
      <c r="F31" s="342">
        <f>SUM(H24:H30)</f>
        <v>8229.81</v>
      </c>
      <c r="G31" s="342"/>
      <c r="H31" s="342"/>
      <c r="I31" s="5"/>
      <c r="J31" s="5"/>
      <c r="K31" s="5"/>
    </row>
    <row r="32" spans="1:11" ht="12.75">
      <c r="A32" s="137" t="s">
        <v>226</v>
      </c>
      <c r="B32" s="137"/>
      <c r="C32" s="336" t="s">
        <v>227</v>
      </c>
      <c r="D32" s="337"/>
      <c r="E32" s="338"/>
      <c r="F32" s="346"/>
      <c r="G32" s="347"/>
      <c r="H32" s="348"/>
      <c r="I32" s="5"/>
      <c r="J32" s="5"/>
      <c r="K32" s="5"/>
    </row>
    <row r="33" spans="1:11" ht="25.5">
      <c r="A33" s="138" t="s">
        <v>248</v>
      </c>
      <c r="B33" s="138" t="s">
        <v>377</v>
      </c>
      <c r="C33" s="30" t="s">
        <v>231</v>
      </c>
      <c r="D33" s="141"/>
      <c r="E33" s="135" t="s">
        <v>10</v>
      </c>
      <c r="F33" s="145">
        <v>16</v>
      </c>
      <c r="G33" s="160">
        <f aca="true" t="shared" si="6" ref="G33:G38">K33</f>
        <v>137.8</v>
      </c>
      <c r="H33" s="160">
        <f t="shared" si="4"/>
        <v>2204.8</v>
      </c>
      <c r="I33" s="5">
        <v>106</v>
      </c>
      <c r="J33" s="5">
        <f aca="true" t="shared" si="7" ref="J33:J38">TRUNC(I33*$I$8,2)</f>
        <v>31.8</v>
      </c>
      <c r="K33" s="5">
        <f t="shared" si="2"/>
        <v>137.8</v>
      </c>
    </row>
    <row r="34" spans="1:11" ht="25.5">
      <c r="A34" s="138" t="s">
        <v>233</v>
      </c>
      <c r="B34" s="138" t="s">
        <v>550</v>
      </c>
      <c r="C34" s="30" t="s">
        <v>232</v>
      </c>
      <c r="D34" s="141"/>
      <c r="E34" s="135" t="s">
        <v>10</v>
      </c>
      <c r="F34" s="145">
        <v>16</v>
      </c>
      <c r="G34" s="160">
        <f t="shared" si="6"/>
        <v>66.4</v>
      </c>
      <c r="H34" s="160">
        <f t="shared" si="4"/>
        <v>1062.4</v>
      </c>
      <c r="I34" s="5">
        <v>51.08</v>
      </c>
      <c r="J34" s="5">
        <f t="shared" si="7"/>
        <v>15.32</v>
      </c>
      <c r="K34" s="5">
        <f t="shared" si="2"/>
        <v>66.4</v>
      </c>
    </row>
    <row r="35" spans="1:11" ht="25.5">
      <c r="A35" s="138" t="s">
        <v>234</v>
      </c>
      <c r="B35" s="138" t="s">
        <v>378</v>
      </c>
      <c r="C35" s="30" t="s">
        <v>229</v>
      </c>
      <c r="D35" s="141"/>
      <c r="E35" s="135" t="s">
        <v>10</v>
      </c>
      <c r="F35" s="145">
        <v>66</v>
      </c>
      <c r="G35" s="160">
        <f t="shared" si="6"/>
        <v>68.74</v>
      </c>
      <c r="H35" s="160">
        <f t="shared" si="4"/>
        <v>4536.84</v>
      </c>
      <c r="I35" s="5">
        <v>52.88</v>
      </c>
      <c r="J35" s="5">
        <f t="shared" si="7"/>
        <v>15.86</v>
      </c>
      <c r="K35" s="5">
        <f t="shared" si="2"/>
        <v>68.74</v>
      </c>
    </row>
    <row r="36" spans="1:11" ht="25.5">
      <c r="A36" s="138" t="s">
        <v>235</v>
      </c>
      <c r="B36" s="138" t="s">
        <v>549</v>
      </c>
      <c r="C36" s="30" t="s">
        <v>230</v>
      </c>
      <c r="D36" s="141"/>
      <c r="E36" s="135" t="s">
        <v>19</v>
      </c>
      <c r="F36" s="145">
        <v>66</v>
      </c>
      <c r="G36" s="160">
        <f t="shared" si="6"/>
        <v>45.91</v>
      </c>
      <c r="H36" s="160">
        <f t="shared" si="4"/>
        <v>3030.06</v>
      </c>
      <c r="I36" s="5">
        <v>35.32</v>
      </c>
      <c r="J36" s="5">
        <f t="shared" si="7"/>
        <v>10.59</v>
      </c>
      <c r="K36" s="5">
        <f t="shared" si="2"/>
        <v>45.91</v>
      </c>
    </row>
    <row r="37" spans="1:11" ht="12.75">
      <c r="A37" s="138" t="s">
        <v>567</v>
      </c>
      <c r="B37" s="138" t="s">
        <v>577</v>
      </c>
      <c r="C37" s="22" t="s">
        <v>394</v>
      </c>
      <c r="D37" s="152"/>
      <c r="E37" s="135" t="s">
        <v>12</v>
      </c>
      <c r="F37" s="145">
        <v>4.92</v>
      </c>
      <c r="G37" s="160">
        <f t="shared" si="6"/>
        <v>160.04</v>
      </c>
      <c r="H37" s="160">
        <f>TRUNC(F37*G37,2)</f>
        <v>787.39</v>
      </c>
      <c r="I37" s="5">
        <v>123.11</v>
      </c>
      <c r="J37" s="5">
        <f t="shared" si="7"/>
        <v>36.93</v>
      </c>
      <c r="K37" s="5">
        <f>SUM(I37:J37)</f>
        <v>160.04</v>
      </c>
    </row>
    <row r="38" spans="1:11" ht="25.5">
      <c r="A38" s="138" t="s">
        <v>578</v>
      </c>
      <c r="B38" s="138" t="s">
        <v>483</v>
      </c>
      <c r="C38" s="22" t="s">
        <v>374</v>
      </c>
      <c r="D38" s="152">
        <v>125</v>
      </c>
      <c r="E38" s="135" t="s">
        <v>13</v>
      </c>
      <c r="F38" s="145">
        <v>2675</v>
      </c>
      <c r="G38" s="160">
        <f t="shared" si="6"/>
        <v>0.76</v>
      </c>
      <c r="H38" s="160">
        <f t="shared" si="4"/>
        <v>2033</v>
      </c>
      <c r="I38" s="5">
        <v>0.59</v>
      </c>
      <c r="J38" s="5">
        <f t="shared" si="7"/>
        <v>0.17</v>
      </c>
      <c r="K38" s="5">
        <f t="shared" si="2"/>
        <v>0.76</v>
      </c>
    </row>
    <row r="39" spans="1:11" ht="12.75">
      <c r="A39" s="335" t="s">
        <v>191</v>
      </c>
      <c r="B39" s="335"/>
      <c r="C39" s="335"/>
      <c r="D39" s="335"/>
      <c r="E39" s="335"/>
      <c r="F39" s="342">
        <f>SUM(H33:H38)</f>
        <v>13654.49</v>
      </c>
      <c r="G39" s="342"/>
      <c r="H39" s="342"/>
      <c r="I39" s="5"/>
      <c r="J39" s="5"/>
      <c r="K39" s="5"/>
    </row>
    <row r="40" spans="1:11" ht="12.75">
      <c r="A40" s="137" t="s">
        <v>568</v>
      </c>
      <c r="B40" s="137"/>
      <c r="C40" s="336" t="s">
        <v>291</v>
      </c>
      <c r="D40" s="337"/>
      <c r="E40" s="338"/>
      <c r="F40" s="346"/>
      <c r="G40" s="347"/>
      <c r="H40" s="348"/>
      <c r="I40" s="5"/>
      <c r="J40" s="5"/>
      <c r="K40" s="5"/>
    </row>
    <row r="41" spans="1:11" ht="51">
      <c r="A41" s="200" t="s">
        <v>569</v>
      </c>
      <c r="B41" s="200" t="s">
        <v>409</v>
      </c>
      <c r="C41" s="201" t="s">
        <v>194</v>
      </c>
      <c r="D41" s="202"/>
      <c r="E41" s="202" t="s">
        <v>19</v>
      </c>
      <c r="F41" s="203">
        <v>2</v>
      </c>
      <c r="G41" s="204">
        <f aca="true" t="shared" si="8" ref="G41:G47">K41</f>
        <v>5791.16</v>
      </c>
      <c r="H41" s="204">
        <f t="shared" si="4"/>
        <v>11582.32</v>
      </c>
      <c r="I41" s="5">
        <v>4454.74</v>
      </c>
      <c r="J41" s="5">
        <f aca="true" t="shared" si="9" ref="J41:J47">TRUNC(I41*$I$8,2)</f>
        <v>1336.42</v>
      </c>
      <c r="K41" s="5">
        <f t="shared" si="2"/>
        <v>5791.16</v>
      </c>
    </row>
    <row r="42" spans="1:11" ht="12.75">
      <c r="A42" s="138" t="s">
        <v>570</v>
      </c>
      <c r="B42" s="138" t="s">
        <v>461</v>
      </c>
      <c r="C42" s="139" t="s">
        <v>462</v>
      </c>
      <c r="D42" s="141"/>
      <c r="E42" s="135" t="s">
        <v>238</v>
      </c>
      <c r="F42" s="145">
        <v>1.1</v>
      </c>
      <c r="G42" s="160">
        <f t="shared" si="8"/>
        <v>747.73</v>
      </c>
      <c r="H42" s="160">
        <f t="shared" si="4"/>
        <v>822.5</v>
      </c>
      <c r="I42" s="5">
        <v>575.18</v>
      </c>
      <c r="J42" s="5">
        <f t="shared" si="9"/>
        <v>172.55</v>
      </c>
      <c r="K42" s="5">
        <f t="shared" si="2"/>
        <v>747.73</v>
      </c>
    </row>
    <row r="43" spans="1:11" ht="25.5">
      <c r="A43" s="138" t="s">
        <v>571</v>
      </c>
      <c r="B43" s="29" t="s">
        <v>236</v>
      </c>
      <c r="C43" s="30" t="s">
        <v>237</v>
      </c>
      <c r="D43" s="141"/>
      <c r="E43" s="135" t="s">
        <v>19</v>
      </c>
      <c r="F43" s="145">
        <v>2</v>
      </c>
      <c r="G43" s="160">
        <f t="shared" si="8"/>
        <v>535.44</v>
      </c>
      <c r="H43" s="160">
        <f t="shared" si="4"/>
        <v>1070.88</v>
      </c>
      <c r="I43" s="5">
        <v>411.88</v>
      </c>
      <c r="J43" s="5">
        <f t="shared" si="9"/>
        <v>123.56</v>
      </c>
      <c r="K43" s="5">
        <f t="shared" si="2"/>
        <v>535.44</v>
      </c>
    </row>
    <row r="44" spans="1:11" ht="51" hidden="1">
      <c r="A44" s="200" t="s">
        <v>306</v>
      </c>
      <c r="B44" s="200" t="s">
        <v>360</v>
      </c>
      <c r="C44" s="201" t="s">
        <v>373</v>
      </c>
      <c r="D44" s="202"/>
      <c r="E44" s="202" t="s">
        <v>19</v>
      </c>
      <c r="F44" s="203">
        <f>MEM_DRENAGEM!E60</f>
        <v>0</v>
      </c>
      <c r="G44" s="204">
        <f t="shared" si="8"/>
        <v>6570.39</v>
      </c>
      <c r="H44" s="204">
        <f>TRUNC(F44*G44,2)</f>
        <v>0</v>
      </c>
      <c r="I44" s="197">
        <f>'COMPO 03 - CP'!D24</f>
        <v>5054.15</v>
      </c>
      <c r="J44" s="5">
        <f>TRUNC(I44*$I$8,2)</f>
        <v>1516.24</v>
      </c>
      <c r="K44" s="5">
        <f t="shared" si="2"/>
        <v>6570.39</v>
      </c>
    </row>
    <row r="45" spans="1:11" ht="38.25">
      <c r="A45" s="138" t="s">
        <v>572</v>
      </c>
      <c r="B45" s="138" t="s">
        <v>463</v>
      </c>
      <c r="C45" s="139" t="s">
        <v>379</v>
      </c>
      <c r="D45" s="135"/>
      <c r="E45" s="135" t="s">
        <v>19</v>
      </c>
      <c r="F45" s="145">
        <v>4</v>
      </c>
      <c r="G45" s="160">
        <f t="shared" si="8"/>
        <v>2066.63</v>
      </c>
      <c r="H45" s="160">
        <f t="shared" si="4"/>
        <v>8266.52</v>
      </c>
      <c r="I45" s="5">
        <v>1589.72</v>
      </c>
      <c r="J45" s="5">
        <f t="shared" si="9"/>
        <v>476.91</v>
      </c>
      <c r="K45" s="5">
        <f t="shared" si="2"/>
        <v>2066.63</v>
      </c>
    </row>
    <row r="46" spans="1:11" ht="38.25">
      <c r="A46" s="138" t="s">
        <v>573</v>
      </c>
      <c r="B46" s="138" t="s">
        <v>360</v>
      </c>
      <c r="C46" s="139" t="s">
        <v>380</v>
      </c>
      <c r="D46" s="141"/>
      <c r="E46" s="135" t="s">
        <v>19</v>
      </c>
      <c r="F46" s="145">
        <v>1</v>
      </c>
      <c r="G46" s="160">
        <f t="shared" si="8"/>
        <v>3390.51</v>
      </c>
      <c r="H46" s="160">
        <f t="shared" si="4"/>
        <v>3390.51</v>
      </c>
      <c r="I46" s="5">
        <v>2608.09</v>
      </c>
      <c r="J46" s="5">
        <f t="shared" si="9"/>
        <v>782.42</v>
      </c>
      <c r="K46" s="5">
        <f t="shared" si="2"/>
        <v>3390.51</v>
      </c>
    </row>
    <row r="47" spans="1:11" ht="38.25" hidden="1">
      <c r="A47" s="138" t="s">
        <v>372</v>
      </c>
      <c r="B47" s="138" t="s">
        <v>279</v>
      </c>
      <c r="C47" s="139" t="s">
        <v>280</v>
      </c>
      <c r="D47" s="135"/>
      <c r="E47" s="135" t="s">
        <v>11</v>
      </c>
      <c r="F47" s="145">
        <v>0</v>
      </c>
      <c r="G47" s="160">
        <f t="shared" si="8"/>
        <v>27.76</v>
      </c>
      <c r="H47" s="160">
        <f t="shared" si="4"/>
        <v>0</v>
      </c>
      <c r="I47" s="5">
        <v>21.36</v>
      </c>
      <c r="J47" s="5">
        <f t="shared" si="9"/>
        <v>6.4</v>
      </c>
      <c r="K47" s="5">
        <f t="shared" si="2"/>
        <v>27.76</v>
      </c>
    </row>
    <row r="48" spans="1:11" ht="12.75">
      <c r="A48" s="335" t="s">
        <v>191</v>
      </c>
      <c r="B48" s="335"/>
      <c r="C48" s="335"/>
      <c r="D48" s="335"/>
      <c r="E48" s="335"/>
      <c r="F48" s="339">
        <f>SUM(H41:H47)</f>
        <v>25132.73</v>
      </c>
      <c r="G48" s="339"/>
      <c r="H48" s="339"/>
      <c r="I48" s="5"/>
      <c r="J48" s="5"/>
      <c r="K48" s="5"/>
    </row>
    <row r="49" spans="1:11" ht="12.75" customHeight="1">
      <c r="A49" s="335" t="s">
        <v>240</v>
      </c>
      <c r="B49" s="335"/>
      <c r="C49" s="335"/>
      <c r="D49" s="335"/>
      <c r="E49" s="335"/>
      <c r="F49" s="343">
        <f>SUM(F31,F39,F48)</f>
        <v>47017.03</v>
      </c>
      <c r="G49" s="344"/>
      <c r="H49" s="345"/>
      <c r="I49" s="5"/>
      <c r="J49" s="5"/>
      <c r="K49" s="5"/>
    </row>
    <row r="50" spans="1:11" ht="12.75">
      <c r="A50" s="14" t="s">
        <v>241</v>
      </c>
      <c r="B50" s="14"/>
      <c r="C50" s="340" t="s">
        <v>242</v>
      </c>
      <c r="D50" s="340"/>
      <c r="E50" s="340"/>
      <c r="F50" s="341"/>
      <c r="G50" s="341"/>
      <c r="H50" s="341"/>
      <c r="I50" s="5"/>
      <c r="J50" s="5"/>
      <c r="K50" s="5"/>
    </row>
    <row r="51" spans="1:11" ht="12.75">
      <c r="A51" s="14" t="s">
        <v>243</v>
      </c>
      <c r="B51" s="14"/>
      <c r="C51" s="340" t="s">
        <v>16</v>
      </c>
      <c r="D51" s="340"/>
      <c r="E51" s="340"/>
      <c r="F51" s="357"/>
      <c r="G51" s="358"/>
      <c r="H51" s="359"/>
      <c r="I51" s="5"/>
      <c r="J51" s="5"/>
      <c r="K51" s="5"/>
    </row>
    <row r="52" spans="1:11" ht="12.75">
      <c r="A52" s="16" t="s">
        <v>245</v>
      </c>
      <c r="B52" s="151">
        <v>72961</v>
      </c>
      <c r="C52" s="18" t="s">
        <v>110</v>
      </c>
      <c r="D52" s="17"/>
      <c r="E52" s="16" t="s">
        <v>11</v>
      </c>
      <c r="F52" s="145">
        <v>98.4</v>
      </c>
      <c r="G52" s="160">
        <f>K52</f>
        <v>1.62</v>
      </c>
      <c r="H52" s="160">
        <f>TRUNC(F52*G52,2)</f>
        <v>159.4</v>
      </c>
      <c r="I52" s="5">
        <v>1.25</v>
      </c>
      <c r="J52" s="5">
        <f>TRUNC(I52*$I$8,2)</f>
        <v>0.37</v>
      </c>
      <c r="K52" s="5">
        <f t="shared" si="2"/>
        <v>1.62</v>
      </c>
    </row>
    <row r="53" spans="1:11" ht="27" customHeight="1">
      <c r="A53" s="16" t="s">
        <v>246</v>
      </c>
      <c r="B53" s="151" t="s">
        <v>200</v>
      </c>
      <c r="C53" s="18" t="s">
        <v>244</v>
      </c>
      <c r="D53" s="17"/>
      <c r="E53" s="16" t="s">
        <v>12</v>
      </c>
      <c r="F53" s="145">
        <v>19.68</v>
      </c>
      <c r="G53" s="160">
        <f>K53</f>
        <v>3.78</v>
      </c>
      <c r="H53" s="160">
        <f>TRUNC(F53*G53,2)</f>
        <v>74.39</v>
      </c>
      <c r="I53" s="5">
        <v>2.91</v>
      </c>
      <c r="J53" s="5">
        <f>TRUNC(I53*$I$8,2)</f>
        <v>0.87</v>
      </c>
      <c r="K53" s="5">
        <f t="shared" si="2"/>
        <v>3.78</v>
      </c>
    </row>
    <row r="54" spans="1:11" ht="13.5" customHeight="1">
      <c r="A54" s="335" t="s">
        <v>191</v>
      </c>
      <c r="B54" s="335"/>
      <c r="C54" s="335"/>
      <c r="D54" s="335"/>
      <c r="E54" s="335"/>
      <c r="F54" s="339">
        <f>SUM(H52:H53)</f>
        <v>233.79</v>
      </c>
      <c r="G54" s="339"/>
      <c r="H54" s="339"/>
      <c r="I54" s="5"/>
      <c r="J54" s="5"/>
      <c r="K54" s="5"/>
    </row>
    <row r="55" spans="1:11" ht="12.75">
      <c r="A55" s="14" t="s">
        <v>247</v>
      </c>
      <c r="B55" s="14"/>
      <c r="C55" s="340" t="s">
        <v>25</v>
      </c>
      <c r="D55" s="340"/>
      <c r="E55" s="340"/>
      <c r="F55" s="341"/>
      <c r="G55" s="341"/>
      <c r="H55" s="341"/>
      <c r="I55" s="5"/>
      <c r="J55" s="5"/>
      <c r="K55" s="5"/>
    </row>
    <row r="56" spans="1:11" ht="12.75">
      <c r="A56" s="16" t="s">
        <v>248</v>
      </c>
      <c r="B56" s="17">
        <v>72924</v>
      </c>
      <c r="C56" s="18" t="s">
        <v>552</v>
      </c>
      <c r="D56" s="17"/>
      <c r="E56" s="16" t="s">
        <v>12</v>
      </c>
      <c r="F56" s="146">
        <v>19.68</v>
      </c>
      <c r="G56" s="160">
        <f aca="true" t="shared" si="10" ref="G56:G62">K56</f>
        <v>63.8</v>
      </c>
      <c r="H56" s="160">
        <f aca="true" t="shared" si="11" ref="H56:H62">TRUNC(F56*G56,2)</f>
        <v>1255.58</v>
      </c>
      <c r="I56" s="5">
        <v>49.08</v>
      </c>
      <c r="J56" s="5">
        <f aca="true" t="shared" si="12" ref="J56:J62">TRUNC(I56*$I$8,2)</f>
        <v>14.72</v>
      </c>
      <c r="K56" s="5">
        <f aca="true" t="shared" si="13" ref="K56:K77">SUM(I56:J56)</f>
        <v>63.8</v>
      </c>
    </row>
    <row r="57" spans="1:11" ht="12.75">
      <c r="A57" s="16" t="s">
        <v>253</v>
      </c>
      <c r="B57" s="17">
        <v>96401</v>
      </c>
      <c r="C57" s="18" t="s">
        <v>196</v>
      </c>
      <c r="D57" s="17"/>
      <c r="E57" s="16" t="s">
        <v>11</v>
      </c>
      <c r="F57" s="146">
        <v>98.4</v>
      </c>
      <c r="G57" s="160">
        <f t="shared" si="10"/>
        <v>4.9</v>
      </c>
      <c r="H57" s="160">
        <f t="shared" si="11"/>
        <v>482.16</v>
      </c>
      <c r="I57" s="5">
        <v>3.77</v>
      </c>
      <c r="J57" s="5">
        <f t="shared" si="12"/>
        <v>1.13</v>
      </c>
      <c r="K57" s="5">
        <f t="shared" si="13"/>
        <v>4.9</v>
      </c>
    </row>
    <row r="58" spans="1:11" ht="12.75">
      <c r="A58" s="16" t="s">
        <v>254</v>
      </c>
      <c r="B58" s="17">
        <v>72942</v>
      </c>
      <c r="C58" s="18" t="s">
        <v>537</v>
      </c>
      <c r="D58" s="17"/>
      <c r="E58" s="16" t="s">
        <v>11</v>
      </c>
      <c r="F58" s="146">
        <v>98.4</v>
      </c>
      <c r="G58" s="160">
        <f>K58</f>
        <v>1.49</v>
      </c>
      <c r="H58" s="160">
        <f>TRUNC(F58*G58,2)</f>
        <v>146.61</v>
      </c>
      <c r="I58" s="5">
        <v>1.15</v>
      </c>
      <c r="J58" s="5">
        <f>TRUNC(I58*$I$8,2)</f>
        <v>0.34</v>
      </c>
      <c r="K58" s="5">
        <f>SUM(I58:J58)</f>
        <v>1.49</v>
      </c>
    </row>
    <row r="59" spans="1:11" ht="24" customHeight="1">
      <c r="A59" s="16" t="s">
        <v>255</v>
      </c>
      <c r="B59" s="138" t="s">
        <v>575</v>
      </c>
      <c r="C59" s="220" t="s">
        <v>576</v>
      </c>
      <c r="D59" s="35"/>
      <c r="E59" s="16" t="s">
        <v>12</v>
      </c>
      <c r="F59" s="146">
        <v>3.93</v>
      </c>
      <c r="G59" s="160">
        <f t="shared" si="10"/>
        <v>1101.13</v>
      </c>
      <c r="H59" s="160">
        <f t="shared" si="11"/>
        <v>4327.44</v>
      </c>
      <c r="I59" s="5">
        <v>847.03</v>
      </c>
      <c r="J59" s="5">
        <f>TRUNC(I59*$I$8,2)</f>
        <v>254.1</v>
      </c>
      <c r="K59" s="5">
        <f>SUM(I59:J59)</f>
        <v>1101.13</v>
      </c>
    </row>
    <row r="60" spans="1:11" ht="12.75">
      <c r="A60" s="16" t="s">
        <v>256</v>
      </c>
      <c r="B60" s="138" t="s">
        <v>553</v>
      </c>
      <c r="C60" s="22" t="s">
        <v>252</v>
      </c>
      <c r="D60" s="35" t="s">
        <v>479</v>
      </c>
      <c r="E60" s="16" t="s">
        <v>31</v>
      </c>
      <c r="F60" s="146">
        <v>914.71</v>
      </c>
      <c r="G60" s="160">
        <f t="shared" si="10"/>
        <v>1.41</v>
      </c>
      <c r="H60" s="160">
        <f t="shared" si="11"/>
        <v>1289.74</v>
      </c>
      <c r="I60" s="5">
        <v>1.09</v>
      </c>
      <c r="J60" s="5">
        <f t="shared" si="12"/>
        <v>0.32</v>
      </c>
      <c r="K60" s="5">
        <f t="shared" si="13"/>
        <v>1.41</v>
      </c>
    </row>
    <row r="61" spans="1:11" ht="12.75">
      <c r="A61" s="16" t="s">
        <v>305</v>
      </c>
      <c r="B61" s="138" t="s">
        <v>581</v>
      </c>
      <c r="C61" s="22" t="s">
        <v>580</v>
      </c>
      <c r="D61" s="35" t="s">
        <v>479</v>
      </c>
      <c r="E61" s="16" t="s">
        <v>31</v>
      </c>
      <c r="F61" s="146">
        <v>954.48</v>
      </c>
      <c r="G61" s="160">
        <f>K61</f>
        <v>1</v>
      </c>
      <c r="H61" s="160">
        <f>TRUNC(F61*G61,2)</f>
        <v>954.48</v>
      </c>
      <c r="I61" s="5">
        <v>0.77</v>
      </c>
      <c r="J61" s="5">
        <f>TRUNC(I61*$I$8,2)</f>
        <v>0.23</v>
      </c>
      <c r="K61" s="5">
        <f>SUM(I61:J61)</f>
        <v>1</v>
      </c>
    </row>
    <row r="62" spans="1:11" ht="12.75">
      <c r="A62" s="16" t="s">
        <v>582</v>
      </c>
      <c r="B62" s="138" t="s">
        <v>554</v>
      </c>
      <c r="C62" s="22" t="s">
        <v>310</v>
      </c>
      <c r="D62" s="35" t="s">
        <v>480</v>
      </c>
      <c r="E62" s="16" t="s">
        <v>31</v>
      </c>
      <c r="F62" s="146">
        <v>83.54</v>
      </c>
      <c r="G62" s="160">
        <f t="shared" si="10"/>
        <v>2.01</v>
      </c>
      <c r="H62" s="160">
        <f t="shared" si="11"/>
        <v>167.91</v>
      </c>
      <c r="I62" s="5">
        <v>1.55</v>
      </c>
      <c r="J62" s="5">
        <f t="shared" si="12"/>
        <v>0.46</v>
      </c>
      <c r="K62" s="5">
        <f t="shared" si="13"/>
        <v>2.01</v>
      </c>
    </row>
    <row r="63" spans="1:11" ht="12.75" customHeight="1">
      <c r="A63" s="335" t="s">
        <v>191</v>
      </c>
      <c r="B63" s="335"/>
      <c r="C63" s="335"/>
      <c r="D63" s="335"/>
      <c r="E63" s="335"/>
      <c r="F63" s="339">
        <f>SUM(H56:H62)</f>
        <v>8623.92</v>
      </c>
      <c r="G63" s="339"/>
      <c r="H63" s="339"/>
      <c r="I63" s="5"/>
      <c r="J63" s="5"/>
      <c r="K63" s="5"/>
    </row>
    <row r="64" spans="1:11" ht="12.75">
      <c r="A64" s="14" t="s">
        <v>259</v>
      </c>
      <c r="B64" s="14"/>
      <c r="C64" s="340" t="s">
        <v>14</v>
      </c>
      <c r="D64" s="340"/>
      <c r="E64" s="340"/>
      <c r="F64" s="341"/>
      <c r="G64" s="341"/>
      <c r="H64" s="341"/>
      <c r="I64" s="5"/>
      <c r="J64" s="5"/>
      <c r="K64" s="5"/>
    </row>
    <row r="65" spans="1:11" ht="25.5">
      <c r="A65" s="16" t="s">
        <v>260</v>
      </c>
      <c r="B65" s="17" t="s">
        <v>410</v>
      </c>
      <c r="C65" s="18" t="s">
        <v>381</v>
      </c>
      <c r="D65" s="17"/>
      <c r="E65" s="16" t="s">
        <v>10</v>
      </c>
      <c r="F65" s="160">
        <v>7</v>
      </c>
      <c r="G65" s="160">
        <f>K65</f>
        <v>46.07</v>
      </c>
      <c r="H65" s="160">
        <f>TRUNC(F65*G65,2)</f>
        <v>322.49</v>
      </c>
      <c r="I65" s="5">
        <v>35.44</v>
      </c>
      <c r="J65" s="5">
        <f>TRUNC(I65*$I$8,2)</f>
        <v>10.63</v>
      </c>
      <c r="K65" s="5">
        <f t="shared" si="13"/>
        <v>46.07</v>
      </c>
    </row>
    <row r="66" spans="1:11" ht="12.75">
      <c r="A66" s="16" t="s">
        <v>261</v>
      </c>
      <c r="B66" s="17">
        <v>73616</v>
      </c>
      <c r="C66" s="18" t="s">
        <v>555</v>
      </c>
      <c r="D66" s="21"/>
      <c r="E66" s="16" t="s">
        <v>12</v>
      </c>
      <c r="F66" s="160">
        <v>0.43</v>
      </c>
      <c r="G66" s="160">
        <f>K66</f>
        <v>247.7</v>
      </c>
      <c r="H66" s="160">
        <f>TRUNC(F66*G66,2)</f>
        <v>106.51</v>
      </c>
      <c r="I66" s="5">
        <v>190.54</v>
      </c>
      <c r="J66" s="5">
        <f>TRUNC(I66*$I$8,2)</f>
        <v>57.16</v>
      </c>
      <c r="K66" s="5">
        <f t="shared" si="13"/>
        <v>247.7</v>
      </c>
    </row>
    <row r="67" spans="1:11" ht="25.5">
      <c r="A67" s="16" t="s">
        <v>307</v>
      </c>
      <c r="B67" s="138" t="s">
        <v>553</v>
      </c>
      <c r="C67" s="22" t="s">
        <v>257</v>
      </c>
      <c r="D67" s="35" t="s">
        <v>479</v>
      </c>
      <c r="E67" s="16" t="s">
        <v>13</v>
      </c>
      <c r="F67" s="160">
        <v>50.92</v>
      </c>
      <c r="G67" s="160">
        <f>K67</f>
        <v>1.41</v>
      </c>
      <c r="H67" s="160">
        <f>TRUNC(F67*G67,2)</f>
        <v>71.79</v>
      </c>
      <c r="I67" s="5">
        <v>1.09</v>
      </c>
      <c r="J67" s="5">
        <f>TRUNC(I67*$I$8,2)</f>
        <v>0.32</v>
      </c>
      <c r="K67" s="5">
        <f t="shared" si="13"/>
        <v>1.41</v>
      </c>
    </row>
    <row r="68" spans="1:11" ht="12.75" customHeight="1">
      <c r="A68" s="335" t="s">
        <v>191</v>
      </c>
      <c r="B68" s="335"/>
      <c r="C68" s="335"/>
      <c r="D68" s="335"/>
      <c r="E68" s="335"/>
      <c r="F68" s="339">
        <f>SUM(H65:H67)</f>
        <v>500.79</v>
      </c>
      <c r="G68" s="339"/>
      <c r="H68" s="339"/>
      <c r="I68" s="5"/>
      <c r="J68" s="5"/>
      <c r="K68" s="5"/>
    </row>
    <row r="69" spans="1:11" ht="12.75" customHeight="1">
      <c r="A69" s="335" t="s">
        <v>258</v>
      </c>
      <c r="B69" s="335"/>
      <c r="C69" s="335"/>
      <c r="D69" s="335"/>
      <c r="E69" s="335"/>
      <c r="F69" s="343">
        <f>SUM(F54,F63,F68)</f>
        <v>9358.5</v>
      </c>
      <c r="G69" s="344"/>
      <c r="H69" s="345"/>
      <c r="I69" s="5"/>
      <c r="J69" s="5"/>
      <c r="K69" s="5"/>
    </row>
    <row r="70" spans="1:11" ht="12.75" customHeight="1" hidden="1">
      <c r="A70" s="14" t="s">
        <v>267</v>
      </c>
      <c r="B70" s="14"/>
      <c r="C70" s="340" t="s">
        <v>262</v>
      </c>
      <c r="D70" s="340"/>
      <c r="E70" s="340"/>
      <c r="F70" s="341"/>
      <c r="G70" s="341"/>
      <c r="H70" s="341"/>
      <c r="I70" s="5"/>
      <c r="J70" s="5"/>
      <c r="K70" s="5"/>
    </row>
    <row r="71" spans="1:11" ht="12.75" customHeight="1" hidden="1">
      <c r="A71" s="14" t="s">
        <v>268</v>
      </c>
      <c r="B71" s="14"/>
      <c r="C71" s="340" t="s">
        <v>263</v>
      </c>
      <c r="D71" s="340"/>
      <c r="E71" s="340"/>
      <c r="F71" s="341"/>
      <c r="G71" s="341"/>
      <c r="H71" s="341"/>
      <c r="I71" s="5"/>
      <c r="J71" s="5"/>
      <c r="K71" s="5"/>
    </row>
    <row r="72" spans="1:11" ht="51" hidden="1">
      <c r="A72" s="17" t="s">
        <v>269</v>
      </c>
      <c r="B72" s="21">
        <v>72947</v>
      </c>
      <c r="C72" s="139" t="s">
        <v>197</v>
      </c>
      <c r="D72" s="135"/>
      <c r="E72" s="141" t="s">
        <v>11</v>
      </c>
      <c r="F72" s="146">
        <f>MEM_SINALIZ!G48</f>
        <v>0</v>
      </c>
      <c r="G72" s="160">
        <f>K72</f>
        <v>19.89</v>
      </c>
      <c r="H72" s="160">
        <f>TRUNC(F72*G72,2)</f>
        <v>0</v>
      </c>
      <c r="I72" s="5">
        <v>15.3</v>
      </c>
      <c r="J72" s="5">
        <f>TRUNC(I72*$I$8,2)</f>
        <v>4.59</v>
      </c>
      <c r="K72" s="5">
        <f t="shared" si="13"/>
        <v>19.89</v>
      </c>
    </row>
    <row r="73" spans="1:11" ht="12.75" hidden="1">
      <c r="A73" s="335" t="s">
        <v>191</v>
      </c>
      <c r="B73" s="335"/>
      <c r="C73" s="335"/>
      <c r="D73" s="335"/>
      <c r="E73" s="335"/>
      <c r="F73" s="339">
        <f>SUM(H72)</f>
        <v>0</v>
      </c>
      <c r="G73" s="339"/>
      <c r="H73" s="339"/>
      <c r="I73" s="5"/>
      <c r="J73" s="5"/>
      <c r="K73" s="5"/>
    </row>
    <row r="74" spans="1:11" ht="12.75" hidden="1">
      <c r="A74" s="14" t="s">
        <v>270</v>
      </c>
      <c r="B74" s="14"/>
      <c r="C74" s="340" t="s">
        <v>264</v>
      </c>
      <c r="D74" s="340"/>
      <c r="E74" s="340"/>
      <c r="F74" s="341"/>
      <c r="G74" s="341"/>
      <c r="H74" s="341"/>
      <c r="I74" s="5"/>
      <c r="J74" s="5"/>
      <c r="K74" s="5"/>
    </row>
    <row r="75" spans="1:11" ht="25.5" hidden="1">
      <c r="A75" s="17" t="s">
        <v>271</v>
      </c>
      <c r="B75" s="21" t="s">
        <v>443</v>
      </c>
      <c r="C75" s="139" t="s">
        <v>265</v>
      </c>
      <c r="D75" s="135"/>
      <c r="E75" s="141" t="s">
        <v>11</v>
      </c>
      <c r="F75" s="146">
        <f>MEM_SINALIZ!D56</f>
        <v>0</v>
      </c>
      <c r="G75" s="160">
        <f>K75</f>
        <v>163.39</v>
      </c>
      <c r="H75" s="160">
        <f>TRUNC(F75*G75,2)</f>
        <v>0</v>
      </c>
      <c r="I75" s="5">
        <f>'COMP 10 - PLACA'!D20</f>
        <v>125.69</v>
      </c>
      <c r="J75" s="5">
        <f>TRUNC(I75*$I$8,2)</f>
        <v>37.7</v>
      </c>
      <c r="K75" s="5">
        <f t="shared" si="13"/>
        <v>163.39</v>
      </c>
    </row>
    <row r="76" spans="1:11" ht="12.75" hidden="1">
      <c r="A76" s="17" t="s">
        <v>281</v>
      </c>
      <c r="B76" s="21" t="s">
        <v>186</v>
      </c>
      <c r="C76" s="139" t="s">
        <v>199</v>
      </c>
      <c r="D76" s="135"/>
      <c r="E76" s="141" t="s">
        <v>11</v>
      </c>
      <c r="F76" s="146">
        <f>MEM_SINALIZ!E56</f>
        <v>0</v>
      </c>
      <c r="G76" s="160">
        <f>K76</f>
        <v>46.98</v>
      </c>
      <c r="H76" s="160">
        <f>TRUNC(F76*G76,2)</f>
        <v>0</v>
      </c>
      <c r="I76" s="5">
        <v>36.14</v>
      </c>
      <c r="J76" s="5">
        <f>TRUNC(I76*$I$8,2)</f>
        <v>10.84</v>
      </c>
      <c r="K76" s="5">
        <f t="shared" si="13"/>
        <v>46.98</v>
      </c>
    </row>
    <row r="77" spans="1:11" ht="25.5" hidden="1">
      <c r="A77" s="17" t="s">
        <v>282</v>
      </c>
      <c r="B77" s="21" t="s">
        <v>470</v>
      </c>
      <c r="C77" s="139" t="s">
        <v>292</v>
      </c>
      <c r="D77" s="135"/>
      <c r="E77" s="141" t="s">
        <v>19</v>
      </c>
      <c r="F77" s="146">
        <f>MEM_SINALIZ!G56</f>
        <v>0</v>
      </c>
      <c r="G77" s="160">
        <f>K77</f>
        <v>67.76</v>
      </c>
      <c r="H77" s="160">
        <f>TRUNC(F77*G77,2)</f>
        <v>0</v>
      </c>
      <c r="I77" s="5">
        <f>'COMP 11 - POSTE'!D20</f>
        <v>52.13</v>
      </c>
      <c r="J77" s="5">
        <f>TRUNC(I77*$I$8,2)</f>
        <v>15.63</v>
      </c>
      <c r="K77" s="5">
        <f t="shared" si="13"/>
        <v>67.76</v>
      </c>
    </row>
    <row r="78" spans="1:11" ht="12.75" customHeight="1" hidden="1">
      <c r="A78" s="335" t="s">
        <v>191</v>
      </c>
      <c r="B78" s="335"/>
      <c r="C78" s="335"/>
      <c r="D78" s="335"/>
      <c r="E78" s="335"/>
      <c r="F78" s="339">
        <f>SUM(H75:H77)</f>
        <v>0</v>
      </c>
      <c r="G78" s="339"/>
      <c r="H78" s="339"/>
      <c r="I78" s="5"/>
      <c r="J78" s="5"/>
      <c r="K78" s="5"/>
    </row>
    <row r="79" spans="1:11" ht="12.75" customHeight="1" hidden="1">
      <c r="A79" s="335" t="s">
        <v>266</v>
      </c>
      <c r="B79" s="335"/>
      <c r="C79" s="335"/>
      <c r="D79" s="335"/>
      <c r="E79" s="335"/>
      <c r="F79" s="339">
        <f>SUM(F73,F78)</f>
        <v>0</v>
      </c>
      <c r="G79" s="339"/>
      <c r="H79" s="339"/>
      <c r="I79" s="5"/>
      <c r="J79" s="5"/>
      <c r="K79" s="5"/>
    </row>
    <row r="80" spans="1:11" ht="16.5">
      <c r="A80" s="364" t="s">
        <v>4</v>
      </c>
      <c r="B80" s="364"/>
      <c r="C80" s="364"/>
      <c r="D80" s="364"/>
      <c r="E80" s="364"/>
      <c r="F80" s="360">
        <f>SUM(F21,F49,F69,F79)</f>
        <v>67788.48</v>
      </c>
      <c r="G80" s="360"/>
      <c r="H80" s="360"/>
      <c r="I80" s="134"/>
      <c r="J80" s="5"/>
      <c r="K80" s="5"/>
    </row>
    <row r="81" spans="1:11" ht="12.75" customHeight="1">
      <c r="A81" s="351" t="s">
        <v>105</v>
      </c>
      <c r="B81" s="351"/>
      <c r="C81" s="351"/>
      <c r="D81" s="351"/>
      <c r="E81" s="351"/>
      <c r="F81" s="351"/>
      <c r="G81" s="351"/>
      <c r="H81" s="351"/>
      <c r="I81" s="5"/>
      <c r="J81" s="5"/>
      <c r="K81" s="5"/>
    </row>
    <row r="82" spans="1:10" ht="9.75" customHeight="1">
      <c r="A82" s="352"/>
      <c r="B82" s="352"/>
      <c r="C82" s="352"/>
      <c r="D82" s="352"/>
      <c r="E82" s="352"/>
      <c r="F82" s="352"/>
      <c r="G82" s="352"/>
      <c r="H82" s="352"/>
      <c r="J82" s="5"/>
    </row>
    <row r="83" spans="1:10" ht="13.5" customHeight="1">
      <c r="A83" s="11" t="s">
        <v>0</v>
      </c>
      <c r="B83" s="341" t="s">
        <v>190</v>
      </c>
      <c r="C83" s="341"/>
      <c r="D83" s="341" t="s">
        <v>5</v>
      </c>
      <c r="E83" s="341"/>
      <c r="F83" s="342" t="s">
        <v>272</v>
      </c>
      <c r="G83" s="342"/>
      <c r="H83" s="342"/>
      <c r="J83" s="5"/>
    </row>
    <row r="84" spans="1:8" ht="13.5" customHeight="1">
      <c r="A84" s="16" t="s">
        <v>21</v>
      </c>
      <c r="B84" s="355" t="s">
        <v>3</v>
      </c>
      <c r="C84" s="355"/>
      <c r="D84" s="363">
        <f>F84/$F$88</f>
        <v>0.1684</v>
      </c>
      <c r="E84" s="363"/>
      <c r="F84" s="354">
        <f>F21</f>
        <v>11412.95</v>
      </c>
      <c r="G84" s="354"/>
      <c r="H84" s="354"/>
    </row>
    <row r="85" spans="1:8" ht="13.5" customHeight="1">
      <c r="A85" s="16" t="s">
        <v>20</v>
      </c>
      <c r="B85" s="355" t="s">
        <v>192</v>
      </c>
      <c r="C85" s="355"/>
      <c r="D85" s="363">
        <f>F85/$F$88</f>
        <v>0.6936</v>
      </c>
      <c r="E85" s="363"/>
      <c r="F85" s="354">
        <f>F49</f>
        <v>47017.03</v>
      </c>
      <c r="G85" s="354"/>
      <c r="H85" s="354"/>
    </row>
    <row r="86" spans="1:10" ht="13.5" customHeight="1">
      <c r="A86" s="16" t="s">
        <v>241</v>
      </c>
      <c r="B86" s="355" t="s">
        <v>242</v>
      </c>
      <c r="C86" s="355"/>
      <c r="D86" s="363">
        <f>F86/$F$88-0.0001</f>
        <v>0.138</v>
      </c>
      <c r="E86" s="363"/>
      <c r="F86" s="354">
        <f>F69</f>
        <v>9358.5</v>
      </c>
      <c r="G86" s="354"/>
      <c r="H86" s="354"/>
      <c r="J86" s="133"/>
    </row>
    <row r="87" spans="1:8" ht="13.5" customHeight="1" hidden="1">
      <c r="A87" s="16" t="s">
        <v>267</v>
      </c>
      <c r="B87" s="355" t="s">
        <v>262</v>
      </c>
      <c r="C87" s="355"/>
      <c r="D87" s="363">
        <f>F87/$F$88</f>
        <v>0</v>
      </c>
      <c r="E87" s="363"/>
      <c r="F87" s="354">
        <f>F79</f>
        <v>0</v>
      </c>
      <c r="G87" s="354"/>
      <c r="H87" s="354"/>
    </row>
    <row r="88" spans="1:9" ht="13.5" customHeight="1">
      <c r="A88" s="353" t="s">
        <v>4</v>
      </c>
      <c r="B88" s="353"/>
      <c r="C88" s="353"/>
      <c r="D88" s="362">
        <f>SUM(D84:E87)</f>
        <v>1</v>
      </c>
      <c r="E88" s="362"/>
      <c r="F88" s="361">
        <f>SUM(F84:H87)</f>
        <v>67788.48</v>
      </c>
      <c r="G88" s="361"/>
      <c r="H88" s="361"/>
      <c r="I88" s="134"/>
    </row>
    <row r="89" spans="1:9" ht="12.75">
      <c r="A89" s="102"/>
      <c r="B89" s="102"/>
      <c r="C89" s="12"/>
      <c r="D89" s="12"/>
      <c r="E89" s="102"/>
      <c r="F89" s="103"/>
      <c r="G89" s="104"/>
      <c r="H89" s="105"/>
      <c r="I89" s="134">
        <f>F88-I88</f>
        <v>67788.48</v>
      </c>
    </row>
  </sheetData>
  <sheetProtection/>
  <mergeCells count="87">
    <mergeCell ref="D86:E86"/>
    <mergeCell ref="C23:E23"/>
    <mergeCell ref="A48:E48"/>
    <mergeCell ref="C74:E74"/>
    <mergeCell ref="F84:H84"/>
    <mergeCell ref="A81:H82"/>
    <mergeCell ref="D84:E84"/>
    <mergeCell ref="D85:E85"/>
    <mergeCell ref="F70:H70"/>
    <mergeCell ref="A80:E80"/>
    <mergeCell ref="D87:E87"/>
    <mergeCell ref="A79:E79"/>
    <mergeCell ref="F78:H78"/>
    <mergeCell ref="F87:H87"/>
    <mergeCell ref="F13:H13"/>
    <mergeCell ref="F21:H21"/>
    <mergeCell ref="F71:H71"/>
    <mergeCell ref="A69:E69"/>
    <mergeCell ref="F69:H69"/>
    <mergeCell ref="B85:C85"/>
    <mergeCell ref="F88:H88"/>
    <mergeCell ref="F73:H73"/>
    <mergeCell ref="F83:H83"/>
    <mergeCell ref="B83:C83"/>
    <mergeCell ref="B84:C84"/>
    <mergeCell ref="B86:C86"/>
    <mergeCell ref="F85:H85"/>
    <mergeCell ref="F74:H74"/>
    <mergeCell ref="D88:E88"/>
    <mergeCell ref="D83:E83"/>
    <mergeCell ref="F79:H79"/>
    <mergeCell ref="F51:H51"/>
    <mergeCell ref="F55:H55"/>
    <mergeCell ref="F80:H80"/>
    <mergeCell ref="A78:E78"/>
    <mergeCell ref="C64:E64"/>
    <mergeCell ref="A73:E73"/>
    <mergeCell ref="F64:H64"/>
    <mergeCell ref="F68:H68"/>
    <mergeCell ref="F63:H63"/>
    <mergeCell ref="A88:C88"/>
    <mergeCell ref="F86:H86"/>
    <mergeCell ref="C70:E70"/>
    <mergeCell ref="B87:C87"/>
    <mergeCell ref="C71:E71"/>
    <mergeCell ref="A1:H1"/>
    <mergeCell ref="A2:H2"/>
    <mergeCell ref="A3:H3"/>
    <mergeCell ref="A4:H4"/>
    <mergeCell ref="A5:H5"/>
    <mergeCell ref="A7:H7"/>
    <mergeCell ref="A6:H6"/>
    <mergeCell ref="A8:H8"/>
    <mergeCell ref="A9:H10"/>
    <mergeCell ref="G11:H11"/>
    <mergeCell ref="C11:C12"/>
    <mergeCell ref="A21:E21"/>
    <mergeCell ref="F11:F12"/>
    <mergeCell ref="E11:E12"/>
    <mergeCell ref="A11:A12"/>
    <mergeCell ref="B11:B12"/>
    <mergeCell ref="A20:E20"/>
    <mergeCell ref="F20:H20"/>
    <mergeCell ref="C13:E13"/>
    <mergeCell ref="D11:D12"/>
    <mergeCell ref="F31:H31"/>
    <mergeCell ref="F32:H32"/>
    <mergeCell ref="A31:E31"/>
    <mergeCell ref="C22:E22"/>
    <mergeCell ref="F23:H23"/>
    <mergeCell ref="A39:E39"/>
    <mergeCell ref="F22:H22"/>
    <mergeCell ref="C32:E32"/>
    <mergeCell ref="F39:H39"/>
    <mergeCell ref="F49:H49"/>
    <mergeCell ref="F48:H48"/>
    <mergeCell ref="C51:E51"/>
    <mergeCell ref="C50:E50"/>
    <mergeCell ref="F40:H40"/>
    <mergeCell ref="A54:E54"/>
    <mergeCell ref="A68:E68"/>
    <mergeCell ref="C40:E40"/>
    <mergeCell ref="A49:E49"/>
    <mergeCell ref="F54:H54"/>
    <mergeCell ref="C55:E55"/>
    <mergeCell ref="A63:E63"/>
    <mergeCell ref="F50:H50"/>
  </mergeCells>
  <printOptions/>
  <pageMargins left="0.5905511811023623" right="0.1968503937007874" top="1.7716535433070868" bottom="0.984251968503937" header="0.3937007874015748" footer="0.3937007874015748"/>
  <pageSetup horizontalDpi="600" verticalDpi="600" orientation="portrait" paperSize="9" scale="85" r:id="rId1"/>
  <headerFooter>
    <oddHeader>&amp;C
&amp;"Arial,Negrito"&amp;14PREFEITURA DE IGUATEMI&amp;12
ESTADO DE MATO GROSSO DO SUL</oddHeader>
    <oddFooter>&amp;CPágina &amp;P de &amp;N</oddFooter>
  </headerFooter>
  <ignoredErrors>
    <ignoredError sqref="D62 D67 D60" numberStoredAsText="1"/>
    <ignoredError sqref="J34" formula="1"/>
    <ignoredError sqref="E84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Layout" zoomScaleSheetLayoutView="100" workbookViewId="0" topLeftCell="A7">
      <selection activeCell="A4" sqref="A4:O4"/>
    </sheetView>
  </sheetViews>
  <sheetFormatPr defaultColWidth="9.140625" defaultRowHeight="12.75"/>
  <cols>
    <col min="1" max="1" width="7.00390625" style="36" bestFit="1" customWidth="1"/>
    <col min="2" max="2" width="28.7109375" style="36" customWidth="1"/>
    <col min="3" max="3" width="8.7109375" style="36" customWidth="1"/>
    <col min="4" max="4" width="9.7109375" style="36" customWidth="1"/>
    <col min="5" max="5" width="8.7109375" style="36" customWidth="1"/>
    <col min="6" max="6" width="9.7109375" style="36" customWidth="1"/>
    <col min="7" max="7" width="8.7109375" style="36" customWidth="1"/>
    <col min="8" max="8" width="9.7109375" style="36" customWidth="1"/>
    <col min="9" max="9" width="8.7109375" style="36" customWidth="1"/>
    <col min="10" max="10" width="9.7109375" style="36" customWidth="1"/>
    <col min="11" max="11" width="8.7109375" style="36" customWidth="1"/>
    <col min="12" max="12" width="10.8515625" style="36" bestFit="1" customWidth="1"/>
    <col min="13" max="13" width="8.7109375" style="36" customWidth="1"/>
    <col min="14" max="14" width="11.7109375" style="36" customWidth="1"/>
    <col min="15" max="15" width="10.7109375" style="36" customWidth="1"/>
    <col min="16" max="16" width="12.57421875" style="36" hidden="1" customWidth="1"/>
    <col min="17" max="17" width="10.8515625" style="36" hidden="1" customWidth="1"/>
    <col min="18" max="18" width="14.421875" style="36" hidden="1" customWidth="1"/>
    <col min="19" max="19" width="16.140625" style="36" hidden="1" customWidth="1"/>
    <col min="20" max="16384" width="9.140625" style="36" customWidth="1"/>
  </cols>
  <sheetData>
    <row r="1" spans="1:19" s="4" customFormat="1" ht="12.75">
      <c r="A1" s="367" t="str">
        <f>PLANILHA!A1</f>
        <v>OBRA/SERVIÇO: DRENAGEM PLUVIAL URBANA E RECOMPOSIÇÃO DA PAVIMENTAÇÃO ASFÁLTICA 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178" t="s">
        <v>364</v>
      </c>
      <c r="Q1" s="178" t="s">
        <v>365</v>
      </c>
      <c r="R1" s="178" t="s">
        <v>366</v>
      </c>
      <c r="S1" s="178" t="s">
        <v>367</v>
      </c>
    </row>
    <row r="2" spans="1:19" s="4" customFormat="1" ht="12.75">
      <c r="A2" s="295" t="str">
        <f>PLANILHA!A2</f>
        <v>LOCAL: RUA OCTAVIANO DOS SANTOS E AVENIDA PRESIDENTE VARGAS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179">
        <f>O15</f>
        <v>67788.48</v>
      </c>
      <c r="Q2" s="179">
        <v>972620</v>
      </c>
      <c r="R2" s="179">
        <f>P2-Q2</f>
        <v>-904831.52</v>
      </c>
      <c r="S2" s="180">
        <f>R2/P2</f>
        <v>-13.3478655960423</v>
      </c>
    </row>
    <row r="3" spans="1:15" s="4" customFormat="1" ht="12.75">
      <c r="A3" s="295" t="str">
        <f>PLANILHA!A3</f>
        <v>MUNICÍPIO: IGUATEMI/MS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s="4" customFormat="1" ht="12.75">
      <c r="A4" s="295" t="str">
        <f>PLANILHA!A4</f>
        <v>ÁREA A PAVIMENTAR: 98,40 M²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5" s="4" customFormat="1" ht="12.75">
      <c r="A5" s="295" t="str">
        <f>PLANILHA!A5</f>
        <v>REDE DE DRENAGEM:82,00 M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s="4" customFormat="1" ht="12.75">
      <c r="A6" s="295" t="str">
        <f>PLANILHA!A6</f>
        <v>DATA: JANEIRO/2018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</row>
    <row r="7" spans="1:15" ht="12.75">
      <c r="A7" s="365" t="s">
        <v>27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</row>
    <row r="8" spans="1:15" ht="12.75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</row>
    <row r="9" spans="1:15" ht="12.75">
      <c r="A9" s="341" t="s">
        <v>0</v>
      </c>
      <c r="B9" s="341" t="s">
        <v>206</v>
      </c>
      <c r="C9" s="341" t="s">
        <v>207</v>
      </c>
      <c r="D9" s="341"/>
      <c r="E9" s="341" t="s">
        <v>208</v>
      </c>
      <c r="F9" s="341"/>
      <c r="G9" s="341" t="s">
        <v>209</v>
      </c>
      <c r="H9" s="341"/>
      <c r="I9" s="341" t="s">
        <v>370</v>
      </c>
      <c r="J9" s="341"/>
      <c r="K9" s="341" t="s">
        <v>371</v>
      </c>
      <c r="L9" s="341"/>
      <c r="M9" s="341" t="s">
        <v>376</v>
      </c>
      <c r="N9" s="341"/>
      <c r="O9" s="341" t="s">
        <v>7</v>
      </c>
    </row>
    <row r="10" spans="1:15" ht="12.75">
      <c r="A10" s="341"/>
      <c r="B10" s="341"/>
      <c r="C10" s="11" t="s">
        <v>5</v>
      </c>
      <c r="D10" s="11" t="s">
        <v>210</v>
      </c>
      <c r="E10" s="11" t="s">
        <v>5</v>
      </c>
      <c r="F10" s="11" t="s">
        <v>210</v>
      </c>
      <c r="G10" s="11" t="s">
        <v>5</v>
      </c>
      <c r="H10" s="11" t="s">
        <v>210</v>
      </c>
      <c r="I10" s="11" t="s">
        <v>5</v>
      </c>
      <c r="J10" s="11" t="s">
        <v>210</v>
      </c>
      <c r="K10" s="11" t="s">
        <v>5</v>
      </c>
      <c r="L10" s="11" t="s">
        <v>210</v>
      </c>
      <c r="M10" s="11" t="s">
        <v>5</v>
      </c>
      <c r="N10" s="11" t="s">
        <v>210</v>
      </c>
      <c r="O10" s="341"/>
    </row>
    <row r="11" spans="1:18" ht="12.75">
      <c r="A11" s="37" t="s">
        <v>21</v>
      </c>
      <c r="B11" s="38" t="str">
        <f>PLANILHA!B84</f>
        <v>SERVIÇOS PRELIMINARES</v>
      </c>
      <c r="C11" s="39">
        <f>100%</f>
        <v>1</v>
      </c>
      <c r="D11" s="40">
        <f>O11*C11</f>
        <v>11412.95</v>
      </c>
      <c r="E11" s="41">
        <v>0</v>
      </c>
      <c r="F11" s="40">
        <f>O11*E11</f>
        <v>0</v>
      </c>
      <c r="G11" s="41">
        <v>0</v>
      </c>
      <c r="H11" s="195">
        <f>G11*O11</f>
        <v>0</v>
      </c>
      <c r="I11" s="41">
        <v>0</v>
      </c>
      <c r="J11" s="195">
        <f>I11*O11</f>
        <v>0</v>
      </c>
      <c r="K11" s="41">
        <v>0</v>
      </c>
      <c r="L11" s="40">
        <f>O11*K11</f>
        <v>0</v>
      </c>
      <c r="M11" s="41">
        <v>0</v>
      </c>
      <c r="N11" s="195">
        <f>M11*O11</f>
        <v>0</v>
      </c>
      <c r="O11" s="42">
        <f>PLANILHA!F84</f>
        <v>11412.95</v>
      </c>
      <c r="P11" s="43">
        <f>SUM(D11,F11,H11,J11,L11,N11)</f>
        <v>11412.95</v>
      </c>
      <c r="R11" s="43"/>
    </row>
    <row r="12" spans="1:18" ht="12.75">
      <c r="A12" s="37" t="s">
        <v>20</v>
      </c>
      <c r="B12" s="38" t="str">
        <f>PLANILHA!B85</f>
        <v>MICRODRENAGEM</v>
      </c>
      <c r="C12" s="39">
        <v>1</v>
      </c>
      <c r="D12" s="40">
        <f>O12*C12</f>
        <v>47017.03</v>
      </c>
      <c r="E12" s="41">
        <v>0</v>
      </c>
      <c r="F12" s="40">
        <f>O12*E12</f>
        <v>0</v>
      </c>
      <c r="G12" s="41">
        <v>0</v>
      </c>
      <c r="H12" s="195">
        <f>G12*O12</f>
        <v>0</v>
      </c>
      <c r="I12" s="41">
        <v>0</v>
      </c>
      <c r="J12" s="195">
        <f>I12*O12</f>
        <v>0</v>
      </c>
      <c r="K12" s="41">
        <v>0</v>
      </c>
      <c r="L12" s="40">
        <f>O12*K12</f>
        <v>0</v>
      </c>
      <c r="M12" s="41">
        <v>0</v>
      </c>
      <c r="N12" s="195">
        <f>M12*O12</f>
        <v>0</v>
      </c>
      <c r="O12" s="42">
        <f>PLANILHA!F85</f>
        <v>47017.03</v>
      </c>
      <c r="P12" s="43">
        <f>SUM(D12,F12,H12,J12,L12,N12)</f>
        <v>47017.03</v>
      </c>
      <c r="R12" s="43"/>
    </row>
    <row r="13" spans="1:18" ht="12.75">
      <c r="A13" s="37" t="s">
        <v>241</v>
      </c>
      <c r="B13" s="38" t="str">
        <f>PLANILHA!B86</f>
        <v>PAVIMENTAÇÃO ASFÁLTICA</v>
      </c>
      <c r="C13" s="39">
        <v>1</v>
      </c>
      <c r="D13" s="40">
        <f>O13*C13</f>
        <v>9358.5</v>
      </c>
      <c r="E13" s="41">
        <v>0</v>
      </c>
      <c r="F13" s="40">
        <f>O13*E13</f>
        <v>0</v>
      </c>
      <c r="G13" s="41">
        <v>0</v>
      </c>
      <c r="H13" s="195">
        <f>G13*O13</f>
        <v>0</v>
      </c>
      <c r="I13" s="41">
        <v>0</v>
      </c>
      <c r="J13" s="195">
        <f>I13*O13</f>
        <v>0</v>
      </c>
      <c r="K13" s="41">
        <v>0</v>
      </c>
      <c r="L13" s="40">
        <f>O13*K13</f>
        <v>0</v>
      </c>
      <c r="M13" s="41">
        <v>0</v>
      </c>
      <c r="N13" s="195">
        <f>M13*O13</f>
        <v>0</v>
      </c>
      <c r="O13" s="42">
        <f>PLANILHA!F86</f>
        <v>9358.5</v>
      </c>
      <c r="P13" s="43">
        <f>SUM(D13,F13,H13,J13,L13,N13)</f>
        <v>9358.5</v>
      </c>
      <c r="R13" s="43"/>
    </row>
    <row r="14" spans="1:18" ht="12.75" hidden="1">
      <c r="A14" s="37" t="s">
        <v>267</v>
      </c>
      <c r="B14" s="11"/>
      <c r="C14" s="39">
        <v>0</v>
      </c>
      <c r="D14" s="40">
        <f>O14*C14</f>
        <v>0</v>
      </c>
      <c r="E14" s="41">
        <v>0</v>
      </c>
      <c r="F14" s="40">
        <f>O14*E14</f>
        <v>0</v>
      </c>
      <c r="G14" s="41">
        <v>0</v>
      </c>
      <c r="H14" s="195">
        <f>G14*O14</f>
        <v>0</v>
      </c>
      <c r="I14" s="41">
        <v>0</v>
      </c>
      <c r="J14" s="195">
        <f>I14*O14</f>
        <v>0</v>
      </c>
      <c r="K14" s="41">
        <v>0</v>
      </c>
      <c r="L14" s="40">
        <f>O14*K14</f>
        <v>0</v>
      </c>
      <c r="M14" s="41">
        <v>1</v>
      </c>
      <c r="N14" s="195">
        <f>M14*O14</f>
        <v>0</v>
      </c>
      <c r="O14" s="42">
        <f>PLANILHA!F87</f>
        <v>0</v>
      </c>
      <c r="P14" s="43">
        <f>SUM(D14,F14,H14,J14,L14,N14)</f>
        <v>0</v>
      </c>
      <c r="R14" s="43"/>
    </row>
    <row r="15" spans="1:18" ht="12.75" customHeight="1">
      <c r="A15" s="11" t="s">
        <v>113</v>
      </c>
      <c r="B15" s="11"/>
      <c r="C15" s="44">
        <f>D15/O15</f>
        <v>1</v>
      </c>
      <c r="D15" s="34">
        <f>SUM(D11:D14)</f>
        <v>67788.48</v>
      </c>
      <c r="E15" s="45">
        <f>F15/O15</f>
        <v>0</v>
      </c>
      <c r="F15" s="34">
        <f>SUM(F11:F14)</f>
        <v>0</v>
      </c>
      <c r="G15" s="45">
        <v>0</v>
      </c>
      <c r="H15" s="146">
        <f>SUM(H11:H14)</f>
        <v>0</v>
      </c>
      <c r="I15" s="45">
        <f>J15/O15</f>
        <v>0</v>
      </c>
      <c r="J15" s="146">
        <f>SUM(J11:J14)</f>
        <v>0</v>
      </c>
      <c r="K15" s="45">
        <f>L15/O15</f>
        <v>0</v>
      </c>
      <c r="L15" s="34">
        <f>SUM(L11:L14)</f>
        <v>0</v>
      </c>
      <c r="M15" s="45">
        <v>0</v>
      </c>
      <c r="N15" s="195">
        <f>SUM(N11:N14)</f>
        <v>0</v>
      </c>
      <c r="O15" s="34">
        <f>SUM(O11:O14)</f>
        <v>67788.48</v>
      </c>
      <c r="P15" s="43"/>
      <c r="R15" s="43"/>
    </row>
    <row r="16" spans="1:18" ht="12.75" customHeight="1">
      <c r="A16" s="11" t="s">
        <v>114</v>
      </c>
      <c r="B16" s="219"/>
      <c r="C16" s="44">
        <f>C15</f>
        <v>1</v>
      </c>
      <c r="D16" s="34">
        <f>D15</f>
        <v>67788.48</v>
      </c>
      <c r="E16" s="44">
        <f aca="true" t="shared" si="0" ref="E16:L16">C16+E15</f>
        <v>1</v>
      </c>
      <c r="F16" s="46">
        <f t="shared" si="0"/>
        <v>67788.48</v>
      </c>
      <c r="G16" s="47">
        <f t="shared" si="0"/>
        <v>1</v>
      </c>
      <c r="H16" s="196">
        <f t="shared" si="0"/>
        <v>67788.48</v>
      </c>
      <c r="I16" s="47">
        <f t="shared" si="0"/>
        <v>1</v>
      </c>
      <c r="J16" s="196">
        <f t="shared" si="0"/>
        <v>67788.48</v>
      </c>
      <c r="K16" s="47">
        <f t="shared" si="0"/>
        <v>1</v>
      </c>
      <c r="L16" s="46">
        <f t="shared" si="0"/>
        <v>67788.48</v>
      </c>
      <c r="M16" s="47">
        <f>K16+M15</f>
        <v>1</v>
      </c>
      <c r="N16" s="196">
        <f>L16+N15</f>
        <v>67788.48</v>
      </c>
      <c r="O16" s="48">
        <f>N16</f>
        <v>67788.48</v>
      </c>
      <c r="P16" s="43"/>
      <c r="R16" s="43"/>
    </row>
    <row r="17" spans="1:18" ht="12.75" customHeight="1">
      <c r="A17" s="219"/>
      <c r="B17" s="217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43"/>
      <c r="R17" s="43"/>
    </row>
    <row r="18" spans="1:15" ht="12.75">
      <c r="A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</sheetData>
  <sheetProtection/>
  <mergeCells count="16">
    <mergeCell ref="K9:L9"/>
    <mergeCell ref="O9:O10"/>
    <mergeCell ref="A9:A10"/>
    <mergeCell ref="B9:B10"/>
    <mergeCell ref="C9:D9"/>
    <mergeCell ref="E9:F9"/>
    <mergeCell ref="M9:N9"/>
    <mergeCell ref="G9:H9"/>
    <mergeCell ref="I9:J9"/>
    <mergeCell ref="A7:O8"/>
    <mergeCell ref="A1:O1"/>
    <mergeCell ref="A2:O2"/>
    <mergeCell ref="A3:O3"/>
    <mergeCell ref="A4:O4"/>
    <mergeCell ref="A5:O5"/>
    <mergeCell ref="A6:O6"/>
  </mergeCells>
  <printOptions horizontalCentered="1" verticalCentered="1"/>
  <pageMargins left="0.5905511811023623" right="0.1968503937007874" top="0.3937007874015748" bottom="1.3779527559055118" header="0.3937007874015748" footer="0.3937007874015748"/>
  <pageSetup horizontalDpi="600" verticalDpi="600" orientation="landscape" paperSize="9" scale="85" r:id="rId1"/>
  <headerFooter>
    <oddHeader>&amp;C
&amp;"Arial,Negrito"&amp;14PREFEITURA MUNICIPAL DE IGUATEMI&amp;12
ESTADO DE MATO GROSSO DO SUL&amp;"Arial,Normal"&amp;10
</oddHeader>
    <oddFooter>&amp;CPágina &amp;P de &amp;N</oddFooter>
  </headerFooter>
  <ignoredErrors>
    <ignoredError sqref="E15:F15 H15:L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W27"/>
  <sheetViews>
    <sheetView view="pageLayout" zoomScaleSheetLayoutView="100" workbookViewId="0" topLeftCell="A1">
      <selection activeCell="J1" sqref="J1:L16384"/>
    </sheetView>
  </sheetViews>
  <sheetFormatPr defaultColWidth="9.140625" defaultRowHeight="12.75"/>
  <cols>
    <col min="1" max="1" width="12.28125" style="24" bestFit="1" customWidth="1"/>
    <col min="2" max="2" width="10.140625" style="24" bestFit="1" customWidth="1"/>
    <col min="3" max="3" width="50.7109375" style="13" customWidth="1"/>
    <col min="4" max="4" width="4.421875" style="13" bestFit="1" customWidth="1"/>
    <col min="5" max="5" width="5.421875" style="24" bestFit="1" customWidth="1"/>
    <col min="6" max="6" width="8.140625" style="25" bestFit="1" customWidth="1"/>
    <col min="7" max="7" width="9.140625" style="26" bestFit="1" customWidth="1"/>
    <col min="8" max="8" width="11.57421875" style="27" bestFit="1" customWidth="1"/>
    <col min="9" max="9" width="11.28125" style="6" hidden="1" customWidth="1"/>
    <col min="10" max="10" width="6.57421875" style="2" hidden="1" customWidth="1"/>
    <col min="11" max="11" width="3.140625" style="2" hidden="1" customWidth="1"/>
    <col min="12" max="12" width="6.57421875" style="2" hidden="1" customWidth="1"/>
    <col min="13" max="13" width="11.28125" style="2" bestFit="1" customWidth="1"/>
    <col min="14" max="231" width="9.140625" style="2" customWidth="1"/>
    <col min="232" max="16384" width="9.140625" style="13" customWidth="1"/>
  </cols>
  <sheetData>
    <row r="1" spans="1:10" s="2" customFormat="1" ht="12.75" customHeight="1">
      <c r="A1" s="265" t="s">
        <v>171</v>
      </c>
      <c r="B1" s="265"/>
      <c r="C1" s="265"/>
      <c r="D1" s="265"/>
      <c r="E1" s="265"/>
      <c r="F1" s="265"/>
      <c r="G1" s="265"/>
      <c r="H1" s="265"/>
      <c r="I1" s="52"/>
      <c r="J1" s="52"/>
    </row>
    <row r="2" spans="1:12" s="2" customFormat="1" ht="12.75" customHeight="1">
      <c r="A2" s="265" t="s">
        <v>213</v>
      </c>
      <c r="B2" s="265"/>
      <c r="C2" s="265"/>
      <c r="D2" s="265"/>
      <c r="E2" s="265"/>
      <c r="F2" s="265"/>
      <c r="G2" s="265"/>
      <c r="H2" s="265"/>
      <c r="I2" s="52"/>
      <c r="J2" s="52"/>
      <c r="K2" s="4"/>
      <c r="L2" s="4"/>
    </row>
    <row r="3" spans="1:10" s="2" customFormat="1" ht="12.75" customHeight="1">
      <c r="A3" s="265" t="s">
        <v>187</v>
      </c>
      <c r="B3" s="265"/>
      <c r="C3" s="265"/>
      <c r="D3" s="265"/>
      <c r="E3" s="265"/>
      <c r="F3" s="265"/>
      <c r="G3" s="265"/>
      <c r="H3" s="265"/>
      <c r="I3" s="52"/>
      <c r="J3" s="52"/>
    </row>
    <row r="4" spans="1:10" s="2" customFormat="1" ht="12.75" customHeight="1">
      <c r="A4" s="265" t="s">
        <v>214</v>
      </c>
      <c r="B4" s="265"/>
      <c r="C4" s="265"/>
      <c r="D4" s="265"/>
      <c r="E4" s="265"/>
      <c r="F4" s="265"/>
      <c r="G4" s="265"/>
      <c r="H4" s="265"/>
      <c r="I4" s="52"/>
      <c r="J4" s="52"/>
    </row>
    <row r="5" spans="1:10" s="2" customFormat="1" ht="12.75" customHeight="1">
      <c r="A5" s="265" t="s">
        <v>188</v>
      </c>
      <c r="B5" s="265"/>
      <c r="C5" s="265"/>
      <c r="D5" s="265"/>
      <c r="E5" s="265"/>
      <c r="F5" s="265"/>
      <c r="G5" s="265"/>
      <c r="H5" s="265"/>
      <c r="I5" s="52"/>
      <c r="J5" s="52"/>
    </row>
    <row r="6" spans="1:10" s="2" customFormat="1" ht="12.75">
      <c r="A6" s="295" t="s">
        <v>189</v>
      </c>
      <c r="B6" s="295"/>
      <c r="C6" s="295"/>
      <c r="D6" s="295"/>
      <c r="E6" s="295"/>
      <c r="F6" s="295"/>
      <c r="G6" s="295"/>
      <c r="H6" s="295"/>
      <c r="I6" s="7"/>
      <c r="J6" s="6"/>
    </row>
    <row r="7" spans="1:10" s="2" customFormat="1" ht="12.75" hidden="1">
      <c r="A7" s="2" t="s">
        <v>161</v>
      </c>
      <c r="B7" s="372">
        <v>0</v>
      </c>
      <c r="C7" s="372"/>
      <c r="D7" s="372"/>
      <c r="E7" s="372"/>
      <c r="F7" s="372"/>
      <c r="G7" s="372"/>
      <c r="H7" s="372"/>
      <c r="I7" s="8"/>
      <c r="J7" s="6"/>
    </row>
    <row r="8" spans="1:10" s="2" customFormat="1" ht="12.75" hidden="1">
      <c r="A8" s="2" t="s">
        <v>162</v>
      </c>
      <c r="B8" s="372">
        <v>0</v>
      </c>
      <c r="C8" s="372"/>
      <c r="D8" s="372"/>
      <c r="E8" s="372"/>
      <c r="F8" s="372"/>
      <c r="G8" s="372"/>
      <c r="H8" s="372"/>
      <c r="I8" s="8"/>
      <c r="J8" s="6"/>
    </row>
    <row r="9" spans="1:10" s="2" customFormat="1" ht="12.75">
      <c r="A9" s="351" t="s">
        <v>163</v>
      </c>
      <c r="B9" s="351"/>
      <c r="C9" s="351"/>
      <c r="D9" s="351"/>
      <c r="E9" s="351"/>
      <c r="F9" s="351"/>
      <c r="G9" s="351"/>
      <c r="H9" s="351"/>
      <c r="I9" s="9"/>
      <c r="J9" s="6"/>
    </row>
    <row r="10" spans="1:9" s="2" customFormat="1" ht="15.75">
      <c r="A10" s="351"/>
      <c r="B10" s="351"/>
      <c r="C10" s="351"/>
      <c r="D10" s="351"/>
      <c r="E10" s="351"/>
      <c r="F10" s="351"/>
      <c r="G10" s="351"/>
      <c r="H10" s="351"/>
      <c r="I10" s="10"/>
    </row>
    <row r="11" spans="1:231" s="12" customFormat="1" ht="12.75" customHeight="1">
      <c r="A11" s="341" t="s">
        <v>0</v>
      </c>
      <c r="B11" s="341" t="s">
        <v>112</v>
      </c>
      <c r="C11" s="341" t="s">
        <v>1</v>
      </c>
      <c r="D11" s="341" t="s">
        <v>18</v>
      </c>
      <c r="E11" s="341" t="s">
        <v>15</v>
      </c>
      <c r="F11" s="341" t="s">
        <v>2</v>
      </c>
      <c r="G11" s="341" t="s">
        <v>135</v>
      </c>
      <c r="H11" s="341"/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</row>
    <row r="12" spans="1:231" s="12" customFormat="1" ht="12.75">
      <c r="A12" s="341"/>
      <c r="B12" s="341"/>
      <c r="C12" s="341"/>
      <c r="D12" s="341"/>
      <c r="E12" s="341"/>
      <c r="F12" s="341"/>
      <c r="G12" s="11" t="s">
        <v>6</v>
      </c>
      <c r="H12" s="11" t="s">
        <v>7</v>
      </c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13" ht="12.75" customHeight="1">
      <c r="A13" s="28" t="s">
        <v>21</v>
      </c>
      <c r="B13" s="106"/>
      <c r="C13" s="371" t="s">
        <v>164</v>
      </c>
      <c r="D13" s="371"/>
      <c r="E13" s="371"/>
      <c r="F13" s="371"/>
      <c r="G13" s="371"/>
      <c r="H13" s="371"/>
      <c r="I13" s="23"/>
      <c r="J13" s="5"/>
      <c r="K13" s="5"/>
      <c r="L13" s="5"/>
      <c r="M13" s="5"/>
    </row>
    <row r="14" spans="1:13" ht="12.75" customHeight="1">
      <c r="A14" s="35" t="s">
        <v>22</v>
      </c>
      <c r="B14" s="17">
        <v>72961</v>
      </c>
      <c r="C14" s="18" t="s">
        <v>110</v>
      </c>
      <c r="D14" s="20"/>
      <c r="E14" s="16" t="s">
        <v>11</v>
      </c>
      <c r="F14" s="31">
        <f>MEM_CORTE_PAV!H24</f>
        <v>48.7</v>
      </c>
      <c r="G14" s="32">
        <f aca="true" t="shared" si="0" ref="G14:G21">L14</f>
        <v>1.12</v>
      </c>
      <c r="H14" s="32">
        <f>TRUNC(F14*G14,2)</f>
        <v>54.54</v>
      </c>
      <c r="I14" s="23"/>
      <c r="J14" s="5">
        <v>1.12</v>
      </c>
      <c r="K14" s="5">
        <f>TRUNC(J14*$B$7,2)</f>
        <v>0</v>
      </c>
      <c r="L14" s="5">
        <f>TRUNC(SUM(J14:K14),2)</f>
        <v>1.12</v>
      </c>
      <c r="M14" s="5"/>
    </row>
    <row r="15" spans="1:13" ht="25.5" customHeight="1">
      <c r="A15" s="35" t="s">
        <v>26</v>
      </c>
      <c r="B15" s="127" t="s">
        <v>200</v>
      </c>
      <c r="C15" s="18" t="s">
        <v>165</v>
      </c>
      <c r="D15" s="17"/>
      <c r="E15" s="16" t="s">
        <v>12</v>
      </c>
      <c r="F15" s="31">
        <f>MEM_CORTE_PAV!E24</f>
        <v>9.5</v>
      </c>
      <c r="G15" s="32">
        <f t="shared" si="0"/>
        <v>3</v>
      </c>
      <c r="H15" s="32">
        <f aca="true" t="shared" si="1" ref="H15:H21">TRUNC(F15*G15,2)</f>
        <v>28.5</v>
      </c>
      <c r="I15" s="23"/>
      <c r="J15" s="5">
        <v>3</v>
      </c>
      <c r="K15" s="5">
        <f aca="true" t="shared" si="2" ref="K15:K21">TRUNC(J15*$B$7,2)</f>
        <v>0</v>
      </c>
      <c r="L15" s="5">
        <f aca="true" t="shared" si="3" ref="L15:L21">TRUNC(SUM(J15:K15),2)</f>
        <v>3</v>
      </c>
      <c r="M15" s="5"/>
    </row>
    <row r="16" spans="1:13" ht="25.5">
      <c r="A16" s="35" t="s">
        <v>29</v>
      </c>
      <c r="B16" s="127">
        <v>72886</v>
      </c>
      <c r="C16" s="113" t="s">
        <v>140</v>
      </c>
      <c r="D16" s="17">
        <v>10</v>
      </c>
      <c r="E16" s="16" t="s">
        <v>31</v>
      </c>
      <c r="F16" s="31">
        <f>MEM_CORTE_PAV!F24</f>
        <v>95</v>
      </c>
      <c r="G16" s="32">
        <f t="shared" si="0"/>
        <v>0.78</v>
      </c>
      <c r="H16" s="32">
        <f t="shared" si="1"/>
        <v>74.1</v>
      </c>
      <c r="I16" s="23"/>
      <c r="J16" s="5">
        <v>0.78</v>
      </c>
      <c r="K16" s="5">
        <f t="shared" si="2"/>
        <v>0</v>
      </c>
      <c r="L16" s="5">
        <f t="shared" si="3"/>
        <v>0.78</v>
      </c>
      <c r="M16" s="5"/>
    </row>
    <row r="17" spans="1:13" ht="12.75">
      <c r="A17" s="35" t="s">
        <v>106</v>
      </c>
      <c r="B17" s="17">
        <v>72911</v>
      </c>
      <c r="C17" s="18" t="s">
        <v>195</v>
      </c>
      <c r="D17" s="17"/>
      <c r="E17" s="16" t="s">
        <v>12</v>
      </c>
      <c r="F17" s="31">
        <f>MEM_CORTE_PAV!G24</f>
        <v>7.3</v>
      </c>
      <c r="G17" s="32">
        <f t="shared" si="0"/>
        <v>8.32</v>
      </c>
      <c r="H17" s="32">
        <f t="shared" si="1"/>
        <v>60.73</v>
      </c>
      <c r="I17" s="23"/>
      <c r="J17" s="5">
        <v>8.32</v>
      </c>
      <c r="K17" s="5">
        <f t="shared" si="2"/>
        <v>0</v>
      </c>
      <c r="L17" s="5">
        <f t="shared" si="3"/>
        <v>8.32</v>
      </c>
      <c r="M17" s="5"/>
    </row>
    <row r="18" spans="1:13" ht="25.5" customHeight="1">
      <c r="A18" s="35" t="s">
        <v>120</v>
      </c>
      <c r="B18" s="17">
        <v>72945</v>
      </c>
      <c r="C18" s="18" t="s">
        <v>111</v>
      </c>
      <c r="D18" s="17"/>
      <c r="E18" s="16" t="s">
        <v>11</v>
      </c>
      <c r="F18" s="31">
        <f>MEM_CORTE_PAV!H24</f>
        <v>48.7</v>
      </c>
      <c r="G18" s="32">
        <f t="shared" si="0"/>
        <v>3.06</v>
      </c>
      <c r="H18" s="32">
        <f t="shared" si="1"/>
        <v>149.02</v>
      </c>
      <c r="I18" s="23"/>
      <c r="J18" s="5">
        <v>3.06</v>
      </c>
      <c r="K18" s="5">
        <f t="shared" si="2"/>
        <v>0</v>
      </c>
      <c r="L18" s="5">
        <f t="shared" si="3"/>
        <v>3.06</v>
      </c>
      <c r="M18" s="5"/>
    </row>
    <row r="19" spans="1:13" ht="25.5">
      <c r="A19" s="35" t="s">
        <v>121</v>
      </c>
      <c r="B19" s="21" t="s">
        <v>141</v>
      </c>
      <c r="C19" s="22" t="s">
        <v>30</v>
      </c>
      <c r="D19" s="21"/>
      <c r="E19" s="16" t="s">
        <v>28</v>
      </c>
      <c r="F19" s="31">
        <f>MEM_CORTE_PAV!I24</f>
        <v>3.5</v>
      </c>
      <c r="G19" s="32">
        <f t="shared" si="0"/>
        <v>260</v>
      </c>
      <c r="H19" s="32">
        <f t="shared" si="1"/>
        <v>910</v>
      </c>
      <c r="I19" s="23"/>
      <c r="J19" s="5">
        <v>260</v>
      </c>
      <c r="K19" s="5">
        <f>TRUNC(J19*$B$8,2)</f>
        <v>0</v>
      </c>
      <c r="L19" s="5">
        <f t="shared" si="3"/>
        <v>260</v>
      </c>
      <c r="M19" s="5"/>
    </row>
    <row r="20" spans="1:13" ht="25.5">
      <c r="A20" s="35" t="s">
        <v>166</v>
      </c>
      <c r="B20" s="138" t="s">
        <v>216</v>
      </c>
      <c r="C20" s="22" t="s">
        <v>217</v>
      </c>
      <c r="D20" s="16" t="s">
        <v>28</v>
      </c>
      <c r="E20" s="16" t="s">
        <v>167</v>
      </c>
      <c r="F20" s="31">
        <f>F19</f>
        <v>3.5</v>
      </c>
      <c r="G20" s="32">
        <f t="shared" si="0"/>
        <v>8.57</v>
      </c>
      <c r="H20" s="32">
        <f t="shared" si="1"/>
        <v>29.99</v>
      </c>
      <c r="I20" s="23"/>
      <c r="J20" s="5">
        <v>8.57</v>
      </c>
      <c r="K20" s="5">
        <v>0</v>
      </c>
      <c r="L20" s="5">
        <f t="shared" si="3"/>
        <v>8.57</v>
      </c>
      <c r="M20" s="5"/>
    </row>
    <row r="21" spans="1:13" ht="12.75">
      <c r="A21" s="35" t="s">
        <v>168</v>
      </c>
      <c r="B21" s="21">
        <v>5626</v>
      </c>
      <c r="C21" s="22" t="s">
        <v>169</v>
      </c>
      <c r="D21" s="21">
        <v>249</v>
      </c>
      <c r="E21" s="16" t="s">
        <v>13</v>
      </c>
      <c r="F21" s="31">
        <f>MEM_CORTE_PAV!J24</f>
        <v>873.9</v>
      </c>
      <c r="G21" s="32">
        <f t="shared" si="0"/>
        <v>0.65</v>
      </c>
      <c r="H21" s="32">
        <f t="shared" si="1"/>
        <v>568.03</v>
      </c>
      <c r="I21" s="23"/>
      <c r="J21" s="5">
        <v>0.65</v>
      </c>
      <c r="K21" s="5">
        <f t="shared" si="2"/>
        <v>0</v>
      </c>
      <c r="L21" s="5">
        <f t="shared" si="3"/>
        <v>0.65</v>
      </c>
      <c r="M21" s="5"/>
    </row>
    <row r="22" spans="1:13" ht="12.75" customHeight="1">
      <c r="A22" s="335" t="s">
        <v>9</v>
      </c>
      <c r="B22" s="335"/>
      <c r="C22" s="335"/>
      <c r="D22" s="335"/>
      <c r="E22" s="370">
        <f>TRUNC(SUM(H14:H21),2)</f>
        <v>1874.91</v>
      </c>
      <c r="F22" s="370"/>
      <c r="G22" s="370"/>
      <c r="H22" s="370"/>
      <c r="I22" s="23"/>
      <c r="J22" s="5"/>
      <c r="K22" s="5"/>
      <c r="L22" s="5"/>
      <c r="M22" s="5"/>
    </row>
    <row r="23" spans="1:13" ht="12.75">
      <c r="A23" s="357" t="s">
        <v>4</v>
      </c>
      <c r="B23" s="358"/>
      <c r="C23" s="358"/>
      <c r="D23" s="359"/>
      <c r="E23" s="342">
        <f>E22</f>
        <v>1874.91</v>
      </c>
      <c r="F23" s="342"/>
      <c r="G23" s="342"/>
      <c r="H23" s="342"/>
      <c r="I23" s="19"/>
      <c r="J23" s="5"/>
      <c r="K23" s="5"/>
      <c r="L23" s="5"/>
      <c r="M23" s="5"/>
    </row>
    <row r="24" spans="1:13" ht="12.75">
      <c r="A24" s="368"/>
      <c r="B24" s="368"/>
      <c r="C24" s="368"/>
      <c r="D24" s="368"/>
      <c r="E24" s="368"/>
      <c r="F24" s="368"/>
      <c r="G24" s="368"/>
      <c r="H24" s="368"/>
      <c r="J24" s="5"/>
      <c r="K24" s="5"/>
      <c r="L24" s="5"/>
      <c r="M24" s="5"/>
    </row>
    <row r="25" spans="1:11" ht="12.75" customHeight="1">
      <c r="A25" s="369" t="s">
        <v>170</v>
      </c>
      <c r="B25" s="369"/>
      <c r="C25" s="369"/>
      <c r="D25" s="369"/>
      <c r="E25" s="369"/>
      <c r="F25" s="369"/>
      <c r="G25" s="369"/>
      <c r="H25" s="128">
        <f>TRUNC(E22/F18,2)</f>
        <v>38.49</v>
      </c>
      <c r="K25" s="5"/>
    </row>
    <row r="26" spans="1:8" ht="12.75">
      <c r="A26" s="102"/>
      <c r="B26" s="102"/>
      <c r="C26" s="12"/>
      <c r="D26" s="12"/>
      <c r="E26" s="102"/>
      <c r="F26" s="103"/>
      <c r="G26" s="104"/>
      <c r="H26" s="105"/>
    </row>
    <row r="27" ht="12.75">
      <c r="J27" s="6"/>
    </row>
  </sheetData>
  <sheetProtection/>
  <mergeCells count="23">
    <mergeCell ref="A1:H1"/>
    <mergeCell ref="A2:H2"/>
    <mergeCell ref="F11:F12"/>
    <mergeCell ref="G11:H11"/>
    <mergeCell ref="A9:H10"/>
    <mergeCell ref="A3:H3"/>
    <mergeCell ref="A4:H4"/>
    <mergeCell ref="A5:H5"/>
    <mergeCell ref="A6:H6"/>
    <mergeCell ref="A11:A12"/>
    <mergeCell ref="C13:H13"/>
    <mergeCell ref="C11:C12"/>
    <mergeCell ref="D11:D12"/>
    <mergeCell ref="E11:E12"/>
    <mergeCell ref="B7:H7"/>
    <mergeCell ref="B8:H8"/>
    <mergeCell ref="B11:B12"/>
    <mergeCell ref="A24:H24"/>
    <mergeCell ref="A25:G25"/>
    <mergeCell ref="A22:D22"/>
    <mergeCell ref="A23:D23"/>
    <mergeCell ref="E23:H23"/>
    <mergeCell ref="E22:H22"/>
  </mergeCells>
  <printOptions/>
  <pageMargins left="0.5905511811023623" right="0.1968503937007874" top="1.7716535433070868" bottom="1.1811023622047245" header="0.3937007874015748" footer="0.3937007874015748"/>
  <pageSetup horizontalDpi="300" verticalDpi="300" orientation="portrait" paperSize="9" scale="85" r:id="rId2"/>
  <headerFooter>
    <oddHeader>&amp;L&amp;G&amp;C
&amp;"Arial Narrow,Negrito"&amp;14ESTADO DE MATO GROSSO DO SUL
&amp;12PREFEITURA DE CARACOL</oddHeader>
    <oddFooter>&amp;CPágina &amp;P de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V25"/>
  <sheetViews>
    <sheetView view="pageBreakPreview" zoomScaleSheetLayoutView="100" workbookViewId="0" topLeftCell="A1">
      <selection activeCell="J30" sqref="J30"/>
    </sheetView>
  </sheetViews>
  <sheetFormatPr defaultColWidth="9.140625" defaultRowHeight="12.75"/>
  <cols>
    <col min="1" max="1" width="7.7109375" style="24" bestFit="1" customWidth="1"/>
    <col min="2" max="2" width="8.57421875" style="24" bestFit="1" customWidth="1"/>
    <col min="3" max="3" width="60.7109375" style="13" customWidth="1"/>
    <col min="4" max="4" width="4.7109375" style="13" customWidth="1"/>
    <col min="5" max="5" width="5.7109375" style="24" customWidth="1"/>
    <col min="6" max="6" width="8.7109375" style="25" bestFit="1" customWidth="1"/>
    <col min="7" max="7" width="8.7109375" style="26" customWidth="1"/>
    <col min="8" max="8" width="8.7109375" style="27" customWidth="1"/>
    <col min="9" max="9" width="6.57421875" style="2" bestFit="1" customWidth="1"/>
    <col min="10" max="10" width="5.28125" style="2" bestFit="1" customWidth="1"/>
    <col min="11" max="11" width="6.57421875" style="2" bestFit="1" customWidth="1"/>
    <col min="12" max="12" width="11.28125" style="2" customWidth="1"/>
    <col min="13" max="230" width="9.140625" style="2" customWidth="1"/>
    <col min="231" max="16384" width="9.140625" style="13" customWidth="1"/>
  </cols>
  <sheetData>
    <row r="1" spans="1:8" s="2" customFormat="1" ht="12.75">
      <c r="A1" s="295" t="s">
        <v>128</v>
      </c>
      <c r="B1" s="295"/>
      <c r="C1" s="295"/>
      <c r="D1" s="295"/>
      <c r="E1" s="295"/>
      <c r="F1" s="295"/>
      <c r="G1" s="295"/>
      <c r="H1" s="295"/>
    </row>
    <row r="2" spans="1:8" s="2" customFormat="1" ht="12.75">
      <c r="A2" s="295" t="s">
        <v>108</v>
      </c>
      <c r="B2" s="295"/>
      <c r="C2" s="295"/>
      <c r="D2" s="295"/>
      <c r="E2" s="295"/>
      <c r="F2" s="295"/>
      <c r="G2" s="295"/>
      <c r="H2" s="295"/>
    </row>
    <row r="3" spans="1:9" s="2" customFormat="1" ht="12.75">
      <c r="A3" s="295" t="s">
        <v>137</v>
      </c>
      <c r="B3" s="295"/>
      <c r="C3" s="295"/>
      <c r="D3" s="295"/>
      <c r="E3" s="295"/>
      <c r="F3" s="295"/>
      <c r="G3" s="295"/>
      <c r="H3" s="295"/>
      <c r="I3" s="6"/>
    </row>
    <row r="4" spans="1:10" s="2" customFormat="1" ht="12.75">
      <c r="A4" s="295" t="s">
        <v>109</v>
      </c>
      <c r="B4" s="295"/>
      <c r="C4" s="295"/>
      <c r="D4" s="295"/>
      <c r="E4" s="295"/>
      <c r="F4" s="295"/>
      <c r="G4" s="295"/>
      <c r="H4" s="295"/>
      <c r="I4" s="101">
        <v>0</v>
      </c>
      <c r="J4" s="107">
        <v>0</v>
      </c>
    </row>
    <row r="5" spans="1:10" s="2" customFormat="1" ht="12.75" hidden="1">
      <c r="A5" s="295" t="s">
        <v>139</v>
      </c>
      <c r="B5" s="295"/>
      <c r="C5" s="295"/>
      <c r="D5" s="295"/>
      <c r="E5" s="295"/>
      <c r="F5" s="295"/>
      <c r="G5" s="295"/>
      <c r="H5" s="295"/>
      <c r="I5" s="101"/>
      <c r="J5" s="107"/>
    </row>
    <row r="6" spans="1:9" s="2" customFormat="1" ht="12.75" hidden="1">
      <c r="A6" s="295" t="s">
        <v>138</v>
      </c>
      <c r="B6" s="295"/>
      <c r="C6" s="295"/>
      <c r="D6" s="295"/>
      <c r="E6" s="295"/>
      <c r="F6" s="295"/>
      <c r="G6" s="295"/>
      <c r="H6" s="295"/>
      <c r="I6" s="6"/>
    </row>
    <row r="7" spans="1:9" s="2" customFormat="1" ht="12.75">
      <c r="A7" s="351" t="s">
        <v>172</v>
      </c>
      <c r="B7" s="351"/>
      <c r="C7" s="351"/>
      <c r="D7" s="351"/>
      <c r="E7" s="351"/>
      <c r="F7" s="351"/>
      <c r="G7" s="351"/>
      <c r="H7" s="351"/>
      <c r="I7" s="6"/>
    </row>
    <row r="8" spans="1:8" s="2" customFormat="1" ht="15.75" customHeight="1">
      <c r="A8" s="352"/>
      <c r="B8" s="352"/>
      <c r="C8" s="352"/>
      <c r="D8" s="352"/>
      <c r="E8" s="352"/>
      <c r="F8" s="352"/>
      <c r="G8" s="352"/>
      <c r="H8" s="352"/>
    </row>
    <row r="9" spans="1:230" s="12" customFormat="1" ht="12.75" customHeight="1">
      <c r="A9" s="341" t="s">
        <v>0</v>
      </c>
      <c r="B9" s="341" t="s">
        <v>112</v>
      </c>
      <c r="C9" s="341" t="s">
        <v>1</v>
      </c>
      <c r="D9" s="341" t="s">
        <v>18</v>
      </c>
      <c r="E9" s="341" t="s">
        <v>15</v>
      </c>
      <c r="F9" s="341" t="s">
        <v>2</v>
      </c>
      <c r="G9" s="341" t="s">
        <v>135</v>
      </c>
      <c r="H9" s="34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s="12" customFormat="1" ht="12.75" customHeight="1">
      <c r="A10" s="341"/>
      <c r="B10" s="341"/>
      <c r="C10" s="341"/>
      <c r="D10" s="341"/>
      <c r="E10" s="341"/>
      <c r="F10" s="341"/>
      <c r="G10" s="11" t="s">
        <v>6</v>
      </c>
      <c r="H10" s="11" t="s">
        <v>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12" ht="12.75" customHeight="1">
      <c r="A11" s="28" t="s">
        <v>21</v>
      </c>
      <c r="B11" s="106"/>
      <c r="C11" s="371" t="s">
        <v>115</v>
      </c>
      <c r="D11" s="371"/>
      <c r="E11" s="371"/>
      <c r="F11" s="371"/>
      <c r="G11" s="371"/>
      <c r="H11" s="371"/>
      <c r="I11" s="5"/>
      <c r="J11" s="5"/>
      <c r="K11" s="5"/>
      <c r="L11" s="5"/>
    </row>
    <row r="12" spans="1:12" ht="25.5">
      <c r="A12" s="35" t="s">
        <v>22</v>
      </c>
      <c r="B12" s="17">
        <v>5835</v>
      </c>
      <c r="C12" s="30" t="s">
        <v>129</v>
      </c>
      <c r="D12" s="17"/>
      <c r="E12" s="16" t="s">
        <v>122</v>
      </c>
      <c r="F12" s="109">
        <v>0.0125</v>
      </c>
      <c r="G12" s="32">
        <f aca="true" t="shared" si="0" ref="G12:G21">K12</f>
        <v>190.3</v>
      </c>
      <c r="H12" s="32">
        <f aca="true" t="shared" si="1" ref="H12:H17">TRUNC(F12*G12,2)</f>
        <v>2.37</v>
      </c>
      <c r="I12" s="5">
        <v>190.3</v>
      </c>
      <c r="J12" s="5">
        <f aca="true" t="shared" si="2" ref="J12:J22">TRUNC(I12*$I$4,2)</f>
        <v>0</v>
      </c>
      <c r="K12" s="5">
        <f>TRUNC(SUM(I12:J12),2)</f>
        <v>190.3</v>
      </c>
      <c r="L12" s="5"/>
    </row>
    <row r="13" spans="1:12" ht="25.5">
      <c r="A13" s="35" t="s">
        <v>26</v>
      </c>
      <c r="B13" s="29" t="s">
        <v>116</v>
      </c>
      <c r="C13" s="30" t="s">
        <v>130</v>
      </c>
      <c r="D13" s="30"/>
      <c r="E13" s="16" t="s">
        <v>123</v>
      </c>
      <c r="F13" s="109">
        <v>0.0125</v>
      </c>
      <c r="G13" s="32">
        <f t="shared" si="0"/>
        <v>109.01</v>
      </c>
      <c r="H13" s="32">
        <f t="shared" si="1"/>
        <v>1.36</v>
      </c>
      <c r="I13" s="5">
        <v>109.01</v>
      </c>
      <c r="J13" s="5">
        <f t="shared" si="2"/>
        <v>0</v>
      </c>
      <c r="K13" s="5">
        <f aca="true" t="shared" si="3" ref="K13:K22">TRUNC(SUM(I13:J13),2)</f>
        <v>109.01</v>
      </c>
      <c r="L13" s="5"/>
    </row>
    <row r="14" spans="1:12" ht="25.5">
      <c r="A14" s="35" t="s">
        <v>29</v>
      </c>
      <c r="B14" s="29" t="s">
        <v>117</v>
      </c>
      <c r="C14" s="30" t="s">
        <v>131</v>
      </c>
      <c r="D14" s="17"/>
      <c r="E14" s="16" t="s">
        <v>122</v>
      </c>
      <c r="F14" s="109">
        <v>0.0125</v>
      </c>
      <c r="G14" s="32">
        <f t="shared" si="0"/>
        <v>83.68</v>
      </c>
      <c r="H14" s="32">
        <f t="shared" si="1"/>
        <v>1.04</v>
      </c>
      <c r="I14" s="5">
        <v>83.68</v>
      </c>
      <c r="J14" s="5">
        <f t="shared" si="2"/>
        <v>0</v>
      </c>
      <c r="K14" s="5">
        <f t="shared" si="3"/>
        <v>83.68</v>
      </c>
      <c r="L14" s="5"/>
    </row>
    <row r="15" spans="1:12" ht="25.5">
      <c r="A15" s="35" t="s">
        <v>106</v>
      </c>
      <c r="B15" s="29" t="s">
        <v>118</v>
      </c>
      <c r="C15" s="30" t="s">
        <v>132</v>
      </c>
      <c r="D15" s="17"/>
      <c r="E15" s="16" t="s">
        <v>123</v>
      </c>
      <c r="F15" s="109">
        <v>0.0125</v>
      </c>
      <c r="G15" s="32">
        <f>K15</f>
        <v>18.6</v>
      </c>
      <c r="H15" s="32">
        <f t="shared" si="1"/>
        <v>0.23</v>
      </c>
      <c r="I15" s="5">
        <v>18.6</v>
      </c>
      <c r="J15" s="5">
        <f t="shared" si="2"/>
        <v>0</v>
      </c>
      <c r="K15" s="5">
        <f>TRUNC(SUM(I15:J15),2)</f>
        <v>18.6</v>
      </c>
      <c r="L15" s="5"/>
    </row>
    <row r="16" spans="1:12" ht="25.5">
      <c r="A16" s="35" t="s">
        <v>120</v>
      </c>
      <c r="B16" s="29" t="s">
        <v>119</v>
      </c>
      <c r="C16" s="30" t="s">
        <v>133</v>
      </c>
      <c r="D16" s="17"/>
      <c r="E16" s="16" t="s">
        <v>122</v>
      </c>
      <c r="F16" s="109">
        <v>0.0125</v>
      </c>
      <c r="G16" s="32">
        <f>K16</f>
        <v>124.86</v>
      </c>
      <c r="H16" s="32">
        <f t="shared" si="1"/>
        <v>1.56</v>
      </c>
      <c r="I16" s="5">
        <v>124.86</v>
      </c>
      <c r="J16" s="5">
        <f t="shared" si="2"/>
        <v>0</v>
      </c>
      <c r="K16" s="5">
        <f>TRUNC(SUM(I16:J16),2)</f>
        <v>124.86</v>
      </c>
      <c r="L16" s="5"/>
    </row>
    <row r="17" spans="1:12" ht="25.5">
      <c r="A17" s="35" t="s">
        <v>121</v>
      </c>
      <c r="B17" s="49">
        <v>5873</v>
      </c>
      <c r="C17" s="30" t="s">
        <v>134</v>
      </c>
      <c r="D17" s="17"/>
      <c r="E17" s="16" t="s">
        <v>123</v>
      </c>
      <c r="F17" s="109">
        <v>0.0125</v>
      </c>
      <c r="G17" s="32">
        <f t="shared" si="0"/>
        <v>46.04</v>
      </c>
      <c r="H17" s="32">
        <f t="shared" si="1"/>
        <v>0.57</v>
      </c>
      <c r="I17" s="5">
        <v>46.04</v>
      </c>
      <c r="J17" s="5">
        <f t="shared" si="2"/>
        <v>0</v>
      </c>
      <c r="K17" s="5">
        <f>TRUNC(SUM(I17:J17),2)</f>
        <v>46.04</v>
      </c>
      <c r="L17" s="5"/>
    </row>
    <row r="18" spans="1:12" ht="12.75">
      <c r="A18" s="335" t="s">
        <v>9</v>
      </c>
      <c r="B18" s="335"/>
      <c r="C18" s="335"/>
      <c r="D18" s="335"/>
      <c r="E18" s="370">
        <f>SUM(H12:H17)</f>
        <v>7.13</v>
      </c>
      <c r="F18" s="370"/>
      <c r="G18" s="370"/>
      <c r="H18" s="370"/>
      <c r="I18" s="5"/>
      <c r="J18" s="5">
        <f t="shared" si="2"/>
        <v>0</v>
      </c>
      <c r="K18" s="5">
        <f t="shared" si="3"/>
        <v>0</v>
      </c>
      <c r="L18" s="5"/>
    </row>
    <row r="19" spans="1:12" ht="12.75">
      <c r="A19" s="28" t="s">
        <v>20</v>
      </c>
      <c r="B19" s="33"/>
      <c r="C19" s="371" t="s">
        <v>124</v>
      </c>
      <c r="D19" s="371"/>
      <c r="E19" s="371"/>
      <c r="F19" s="371"/>
      <c r="G19" s="371"/>
      <c r="H19" s="371"/>
      <c r="I19" s="5"/>
      <c r="J19" s="5">
        <f t="shared" si="2"/>
        <v>0</v>
      </c>
      <c r="K19" s="5">
        <f t="shared" si="3"/>
        <v>0</v>
      </c>
      <c r="L19" s="5"/>
    </row>
    <row r="20" spans="1:12" ht="12.75">
      <c r="A20" s="35" t="s">
        <v>23</v>
      </c>
      <c r="B20" s="17">
        <v>25961</v>
      </c>
      <c r="C20" s="18" t="s">
        <v>125</v>
      </c>
      <c r="D20" s="17"/>
      <c r="E20" s="16" t="s">
        <v>127</v>
      </c>
      <c r="F20" s="108">
        <v>0.075</v>
      </c>
      <c r="G20" s="32">
        <f t="shared" si="0"/>
        <v>5.83</v>
      </c>
      <c r="H20" s="32">
        <f>TRUNC(F20*G20,2)</f>
        <v>0.43</v>
      </c>
      <c r="I20" s="5">
        <v>5.83</v>
      </c>
      <c r="J20" s="5">
        <f>TRUNC(I20*$J$4,2)</f>
        <v>0</v>
      </c>
      <c r="K20" s="5">
        <f t="shared" si="3"/>
        <v>5.83</v>
      </c>
      <c r="L20" s="5"/>
    </row>
    <row r="21" spans="1:12" ht="12.75">
      <c r="A21" s="35" t="s">
        <v>24</v>
      </c>
      <c r="B21" s="21">
        <v>6115</v>
      </c>
      <c r="C21" s="30" t="s">
        <v>126</v>
      </c>
      <c r="D21" s="21"/>
      <c r="E21" s="16" t="s">
        <v>127</v>
      </c>
      <c r="F21" s="108">
        <v>0.1</v>
      </c>
      <c r="G21" s="32">
        <f t="shared" si="0"/>
        <v>6.45</v>
      </c>
      <c r="H21" s="32">
        <f>TRUNC(F21*G21,2)</f>
        <v>0.64</v>
      </c>
      <c r="I21" s="5">
        <v>6.45</v>
      </c>
      <c r="J21" s="5">
        <f>TRUNC(I21*$J$4,2)</f>
        <v>0</v>
      </c>
      <c r="K21" s="5">
        <f t="shared" si="3"/>
        <v>6.45</v>
      </c>
      <c r="L21" s="5"/>
    </row>
    <row r="22" spans="1:12" ht="12.75">
      <c r="A22" s="335" t="s">
        <v>9</v>
      </c>
      <c r="B22" s="335"/>
      <c r="C22" s="335"/>
      <c r="D22" s="335"/>
      <c r="E22" s="370">
        <f>SUM(H20:H21)</f>
        <v>1.07</v>
      </c>
      <c r="F22" s="370"/>
      <c r="G22" s="370"/>
      <c r="H22" s="370"/>
      <c r="I22" s="5"/>
      <c r="J22" s="5">
        <f t="shared" si="2"/>
        <v>0</v>
      </c>
      <c r="K22" s="5">
        <f t="shared" si="3"/>
        <v>0</v>
      </c>
      <c r="L22" s="5"/>
    </row>
    <row r="23" spans="1:12" ht="12.75">
      <c r="A23" s="357" t="s">
        <v>4</v>
      </c>
      <c r="B23" s="358"/>
      <c r="C23" s="358"/>
      <c r="D23" s="359"/>
      <c r="E23" s="342">
        <f>SUM(E18,E22)</f>
        <v>8.2</v>
      </c>
      <c r="F23" s="342"/>
      <c r="G23" s="342"/>
      <c r="H23" s="342"/>
      <c r="I23" s="5"/>
      <c r="J23" s="5"/>
      <c r="K23" s="5"/>
      <c r="L23" s="5"/>
    </row>
    <row r="24" spans="1:8" ht="12.75">
      <c r="A24" s="102"/>
      <c r="B24" s="102"/>
      <c r="C24" s="12"/>
      <c r="D24" s="12"/>
      <c r="E24" s="102"/>
      <c r="F24" s="103"/>
      <c r="G24" s="104"/>
      <c r="H24" s="105"/>
    </row>
    <row r="25" ht="12.75">
      <c r="I25" s="6"/>
    </row>
  </sheetData>
  <sheetProtection/>
  <mergeCells count="22">
    <mergeCell ref="A23:D23"/>
    <mergeCell ref="E23:H23"/>
    <mergeCell ref="C19:H19"/>
    <mergeCell ref="A22:D22"/>
    <mergeCell ref="E22:H22"/>
    <mergeCell ref="A9:A10"/>
    <mergeCell ref="C9:C10"/>
    <mergeCell ref="D9:D10"/>
    <mergeCell ref="E9:E10"/>
    <mergeCell ref="A7:H8"/>
    <mergeCell ref="C11:H11"/>
    <mergeCell ref="A18:D18"/>
    <mergeCell ref="E18:H18"/>
    <mergeCell ref="B9:B10"/>
    <mergeCell ref="F9:F10"/>
    <mergeCell ref="G9:H9"/>
    <mergeCell ref="A5:H5"/>
    <mergeCell ref="A6:H6"/>
    <mergeCell ref="A1:H1"/>
    <mergeCell ref="A2:H2"/>
    <mergeCell ref="A3:H3"/>
    <mergeCell ref="A4:H4"/>
  </mergeCells>
  <printOptions/>
  <pageMargins left="0.7874015748031497" right="0.3937007874015748" top="1.7716535433070868" bottom="1.1811023622047245" header="0.31496062992125984" footer="0.31496062992125984"/>
  <pageSetup horizontalDpi="300" verticalDpi="300" orientation="portrait" paperSize="9" scale="80" r:id="rId1"/>
  <ignoredErrors>
    <ignoredError sqref="B13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contini</cp:lastModifiedBy>
  <cp:lastPrinted>2018-05-21T14:19:40Z</cp:lastPrinted>
  <dcterms:created xsi:type="dcterms:W3CDTF">2005-01-24T12:21:38Z</dcterms:created>
  <dcterms:modified xsi:type="dcterms:W3CDTF">2018-06-05T13:56:51Z</dcterms:modified>
  <cp:category/>
  <cp:version/>
  <cp:contentType/>
  <cp:contentStatus/>
</cp:coreProperties>
</file>